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shop\tunnel school 2019\spreadsheets\"/>
    </mc:Choice>
  </mc:AlternateContent>
  <xr:revisionPtr revIDLastSave="0" documentId="13_ncr:1_{8B91918D-F750-406E-8AFA-4CB80D718918}" xr6:coauthVersionLast="45" xr6:coauthVersionMax="45" xr10:uidLastSave="{00000000-0000-0000-0000-000000000000}"/>
  <bookViews>
    <workbookView xWindow="78" yWindow="0" windowWidth="22962" windowHeight="12360" tabRatio="745" xr2:uid="{00000000-000D-0000-FFFF-FFFF00000000}"/>
  </bookViews>
  <sheets>
    <sheet name="Tunnel heat gain analysis" sheetId="12" r:id="rId1"/>
    <sheet name="Tunnel fan comparison " sheetId="2" r:id="rId2"/>
    <sheet name="Evap cooling system design" sheetId="3" state="hidden" r:id="rId3"/>
    <sheet name="Pad set temp simulator 2014" sheetId="4" state="hidden" r:id="rId4"/>
    <sheet name="conversions" sheetId="5" state="hidden" r:id="rId5"/>
    <sheet name="Sheet2" sheetId="7" state="hidden" r:id="rId6"/>
  </sheets>
  <externalReferences>
    <externalReference r:id="rId7"/>
  </externalReferences>
  <definedNames>
    <definedName name="_Tdb1" localSheetId="0">#REF!</definedName>
    <definedName name="_Tdb1">#REF!</definedName>
    <definedName name="_Tdb2" localSheetId="0">#REF!</definedName>
    <definedName name="_Tdb2">#REF!</definedName>
    <definedName name="_Tdb3">[1]Mixing!$D$15</definedName>
    <definedName name="_Twb1" localSheetId="0">#REF!</definedName>
    <definedName name="_Twb1">#REF!</definedName>
    <definedName name="_Twb2" localSheetId="0">#REF!</definedName>
    <definedName name="_Twb2">#REF!</definedName>
    <definedName name="_Twb3">[1]Mixing!$D$18</definedName>
    <definedName name="APHg">'[1]Htg Coil'!$B$12</definedName>
    <definedName name="APinHg" localSheetId="0">#REF!</definedName>
    <definedName name="APinHg">#REF!</definedName>
    <definedName name="APinHgIn">'[1]Clg-Coil'!$B$12</definedName>
    <definedName name="APpsia">'[1]Htg Coil'!$B$11</definedName>
    <definedName name="AtmPress" localSheetId="0">#REF!</definedName>
    <definedName name="AtmPress">#REF!</definedName>
    <definedName name="AtmPressIn">'[1]Clg-Coil'!$B$11</definedName>
    <definedName name="BHP">'[1]Clg-Coil'!$I$6</definedName>
    <definedName name="BPFactor">'[1]Clg Coil-BP'!$B$6</definedName>
    <definedName name="cp" localSheetId="0">#REF!</definedName>
    <definedName name="cp">#REF!</definedName>
    <definedName name="DewPt1" localSheetId="0">#REF!</definedName>
    <definedName name="DewPt1">#REF!</definedName>
    <definedName name="DewPt2" localSheetId="0">#REF!</definedName>
    <definedName name="DewPt2">#REF!</definedName>
    <definedName name="Elev">'[1]Clg Coil-BP'!$B$11</definedName>
    <definedName name="Elevation" localSheetId="0">#REF!</definedName>
    <definedName name="Elevation">#REF!</definedName>
    <definedName name="ElevH">'[1]Htg Coil'!$B$10</definedName>
    <definedName name="ElevIn">'[1]Clg-Coil'!$B$10</definedName>
    <definedName name="Enal1" localSheetId="0">#REF!</definedName>
    <definedName name="Enal1">#REF!</definedName>
    <definedName name="Enal2" localSheetId="0">#REF!</definedName>
    <definedName name="Enal2">#REF!</definedName>
    <definedName name="EnalFluid">'[1]Htg Coil'!$J$16</definedName>
    <definedName name="EnalHru">'[1]Heat Rec''ry'!$H$22</definedName>
    <definedName name="EnalOut">'[1]Heat Rec''ry'!$E$22</definedName>
    <definedName name="EnalRet">'[1]Clg Coil-BP'!$B$20</definedName>
    <definedName name="EnalRm">'[1]Heat Rec''ry'!$B$22</definedName>
    <definedName name="EnalSup">'[1]Clg Coil-BP'!$F$20</definedName>
    <definedName name="FanEff">'[1]Clg-Coil'!$I$4</definedName>
    <definedName name="FluidTemp">'[1]Htg Coil'!$J$15</definedName>
    <definedName name="FluidType">'[1]Htg Coil'!$J$14</definedName>
    <definedName name="h" localSheetId="0">#REF!</definedName>
    <definedName name="h">#REF!</definedName>
    <definedName name="HRatio1" localSheetId="0">#REF!</definedName>
    <definedName name="HRatio1">#REF!</definedName>
    <definedName name="HRatio2" localSheetId="0">#REF!</definedName>
    <definedName name="HRatio2">#REF!</definedName>
    <definedName name="HRatio3">[1]Mixing!$D$16</definedName>
    <definedName name="HRatioadp">'[1]Clg Coil-BP'!$F$10</definedName>
    <definedName name="HRatioHin">'[1]Htg Coil'!$B$15</definedName>
    <definedName name="HRatioHout">'[1]Htg Coil'!$F$10</definedName>
    <definedName name="HRatioHru">'[1]Heat Rec''ry'!$H$18</definedName>
    <definedName name="HRatioIn">'[1]Clg-Coil'!$B$15</definedName>
    <definedName name="HRatioNet">'[1]Clg-Coil'!$I$15</definedName>
    <definedName name="HRatioOA">'[1]Htg Coil'!$J$6</definedName>
    <definedName name="HRatioOut">'[1]Heat Rec''ry'!$E$18</definedName>
    <definedName name="HRatioRet">'[1]Clg Coil-BP'!$B$16</definedName>
    <definedName name="HRatioRm">'[1]Heat Rec''ry'!$B$18</definedName>
    <definedName name="HRatioSup">'[1]Clg Coil-BP'!$F$16</definedName>
    <definedName name="LatEff">'[1]Heat Rec''ry'!$B$7</definedName>
    <definedName name="mflow1">[1]Mixing!$B$10</definedName>
    <definedName name="mflow2">[1]Mixing!$F$10</definedName>
    <definedName name="mflow3">[1]Mixing!$D$13</definedName>
    <definedName name="mflowHin">'[1]Htg Coil'!$B$6</definedName>
    <definedName name="mflowIn">'[1]Clg-Coil'!$F$8</definedName>
    <definedName name="mflowOut">'[1]Heat Rec''ry'!$B$11</definedName>
    <definedName name="mflowRet">'[1]Clg Coil-BP'!$F$4</definedName>
    <definedName name="mfluid">'[1]Htg Coil'!$J$17</definedName>
    <definedName name="MotorEff">'[1]Clg-Coil'!$I$5</definedName>
    <definedName name="OAVentInfil">'[1]Htg Coil'!$J$5</definedName>
    <definedName name="Qair1">[1]Mixing!$B$6</definedName>
    <definedName name="Qair2">[1]Mixing!$F$6</definedName>
    <definedName name="QairEx">'[1]Heat Rec''ry'!$B$15</definedName>
    <definedName name="QairHin">'[1]Htg Coil'!$B$3</definedName>
    <definedName name="QairIn">'[1]Clg-Coil'!$B$3</definedName>
    <definedName name="QairOut">'[1]Heat Rec''ry'!$B$9</definedName>
    <definedName name="QairRet">'[1]Clg Coil-BP'!$B$4</definedName>
    <definedName name="qFan">'[1]Clg-Coil'!$I$7</definedName>
    <definedName name="qFurn">'[1]Htg Coil'!$B$4</definedName>
    <definedName name="qHumid">'[1]Htg Coil'!$J$18</definedName>
    <definedName name="QSairIn">'[1]Clg-Coil'!$B$6</definedName>
    <definedName name="qSenHru">'[1]Heat Rec''ry'!$E$15</definedName>
    <definedName name="qSenNet">'[1]Clg-Coil'!$I$9</definedName>
    <definedName name="qSensible">'[1]Clg Coil-BP'!$F$13</definedName>
    <definedName name="qTotal">'[1]Clg Coil-BP'!$F$12</definedName>
    <definedName name="qTotalHru">'[1]Heat Rec''ry'!$E$14</definedName>
    <definedName name="qTotNet">'[1]Clg-Coil'!$I$8</definedName>
    <definedName name="RelHum1" localSheetId="0">#REF!</definedName>
    <definedName name="RelHum1">#REF!</definedName>
    <definedName name="RelHum2" localSheetId="0">#REF!</definedName>
    <definedName name="RelHum2">#REF!</definedName>
    <definedName name="RH" localSheetId="0">#REF!</definedName>
    <definedName name="RH">#REF!</definedName>
    <definedName name="SC">'[1]Clg-Coil'!$B$5</definedName>
    <definedName name="SenEff">'[1]Heat Rec''ry'!$B$6</definedName>
    <definedName name="SpHt1" localSheetId="0">#REF!</definedName>
    <definedName name="SpHt1">#REF!</definedName>
    <definedName name="SpHt2" localSheetId="0">#REF!</definedName>
    <definedName name="SpHt2">#REF!</definedName>
    <definedName name="SpHtHin">'[1]Htg Coil'!$B$18</definedName>
    <definedName name="SpHtIn">'[1]Clg-Coil'!$B$18</definedName>
    <definedName name="SpHtOut">'[1]Heat Rec''ry'!$E$21</definedName>
    <definedName name="SpHtRet">'[1]Clg Coil-BP'!$B$19</definedName>
    <definedName name="SpVol1" localSheetId="0">#REF!</definedName>
    <definedName name="SpVol1">#REF!</definedName>
    <definedName name="SpVol2" localSheetId="0">#REF!</definedName>
    <definedName name="SpVol2">#REF!</definedName>
    <definedName name="SpVol3">[1]Mixing!$D$22</definedName>
    <definedName name="SpVolHin">'[1]Htg Coil'!$B$20</definedName>
    <definedName name="SpVolIn">'[1]Clg-Coil'!$B$20</definedName>
    <definedName name="SpVolOut">'[1]Heat Rec''ry'!$E$23</definedName>
    <definedName name="SpVolRet">'[1]Clg Coil-BP'!$B$21</definedName>
    <definedName name="SpVolSup">'[1]Clg Coil-BP'!$F$21</definedName>
    <definedName name="SupFankW">'[1]Heat Rec''ry'!$B$12</definedName>
    <definedName name="Tadp">'[1]Clg Coil-BP'!$B$5</definedName>
    <definedName name="TC">'[1]Clg-Coil'!$B$4</definedName>
    <definedName name="TdbHin">'[1]Htg Coil'!$B$8</definedName>
    <definedName name="TdbHout">'[1]Htg Coil'!$F$6</definedName>
    <definedName name="TdbHru">'[1]Heat Rec''ry'!$H$14</definedName>
    <definedName name="TdbIn">'[1]Clg-Coil'!$B$8</definedName>
    <definedName name="TdbNet">'[1]Clg-Coil'!$I$12</definedName>
    <definedName name="TdbOut">'[1]Heat Rec''ry'!$F$9</definedName>
    <definedName name="TdbOutAir">'[1]Htg Coil'!$J$3</definedName>
    <definedName name="TdbRet">'[1]Clg Coil-BP'!$B$9</definedName>
    <definedName name="TdbRm">'[1]Heat Rec''ry'!$F$6</definedName>
    <definedName name="TdbSup">'[1]Clg Coil-BP'!$F$8</definedName>
    <definedName name="Tdrybulb" localSheetId="0">#REF!</definedName>
    <definedName name="Tdrybulb">#REF!</definedName>
    <definedName name="Tdwb1" localSheetId="0">#REF!</definedName>
    <definedName name="Tdwb1">#REF!</definedName>
    <definedName name="TotalPress">'[1]Clg-Coil'!$I$3</definedName>
    <definedName name="TwbHin">'[1]Htg Coil'!$B$9</definedName>
    <definedName name="TwbHout">'[1]Htg Coil'!$F$7</definedName>
    <definedName name="TwbHru">'[1]Heat Rec''ry'!$H$15</definedName>
    <definedName name="TwbIn">'[1]Clg-Coil'!$B$9</definedName>
    <definedName name="TwbNet">'[1]Clg-Coil'!$I$13</definedName>
    <definedName name="TwbOut">'[1]Heat Rec''ry'!$F$10</definedName>
    <definedName name="TwbOutAir">'[1]Htg Coil'!$J$4</definedName>
    <definedName name="TwbRet">'[1]Clg Coil-BP'!$B$10</definedName>
    <definedName name="TwbRm">'[1]Heat Rec''ry'!$F$7</definedName>
    <definedName name="TwbSup">'[1]Clg Coil-BP'!$F$9</definedName>
    <definedName name="Twetbulb" localSheetId="0">#REF!</definedName>
    <definedName name="Twetbulb">#REF!</definedName>
    <definedName name="v" localSheetId="0">#REF!</definedName>
    <definedName name="v">#REF!</definedName>
    <definedName name="W" localSheetId="0">#REF!</definedName>
    <definedName name="W">#REF!</definedName>
    <definedName name="W1_" localSheetId="0">#REF!</definedName>
    <definedName name="W1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I9" i="2"/>
  <c r="E8" i="2"/>
  <c r="E9" i="2"/>
  <c r="E10" i="2"/>
  <c r="E7" i="2"/>
  <c r="D95" i="12" l="1"/>
  <c r="I87" i="12" l="1"/>
  <c r="E88" i="12"/>
  <c r="D37" i="12"/>
  <c r="E37" i="12" s="1"/>
  <c r="E20" i="12"/>
  <c r="C78" i="12"/>
  <c r="C77" i="12"/>
  <c r="C76" i="12"/>
  <c r="C75" i="12"/>
  <c r="E13" i="12"/>
  <c r="Q8" i="12"/>
  <c r="D10" i="3" l="1"/>
  <c r="I86" i="12"/>
  <c r="E70" i="12"/>
  <c r="E69" i="12"/>
  <c r="E34" i="12"/>
  <c r="E107" i="12"/>
  <c r="Q15" i="12"/>
  <c r="E36" i="12"/>
  <c r="E12" i="12" l="1"/>
  <c r="D102" i="12" l="1"/>
  <c r="D104" i="12" s="1"/>
  <c r="E104" i="12" s="1"/>
  <c r="E109" i="12"/>
  <c r="E108" i="12"/>
  <c r="D99" i="12"/>
  <c r="E99" i="12" s="1"/>
  <c r="D98" i="12"/>
  <c r="E98" i="12" s="1"/>
  <c r="E95" i="12"/>
  <c r="E94" i="12"/>
  <c r="E81" i="12"/>
  <c r="E78" i="12"/>
  <c r="E77" i="12"/>
  <c r="E76" i="12"/>
  <c r="I82" i="12"/>
  <c r="E75" i="12"/>
  <c r="E74" i="12"/>
  <c r="E73" i="12"/>
  <c r="E51" i="12"/>
  <c r="E50" i="12"/>
  <c r="C50" i="12"/>
  <c r="E49" i="12"/>
  <c r="C49" i="12"/>
  <c r="E48" i="12"/>
  <c r="E35" i="12"/>
  <c r="Q16" i="12"/>
  <c r="J91" i="12" s="1"/>
  <c r="E19" i="12"/>
  <c r="J82" i="12"/>
  <c r="E18" i="12"/>
  <c r="P14" i="12"/>
  <c r="E17" i="12"/>
  <c r="P13" i="12"/>
  <c r="E16" i="12"/>
  <c r="P11" i="12"/>
  <c r="P10" i="12"/>
  <c r="P9" i="12"/>
  <c r="E11" i="12"/>
  <c r="Q7" i="12"/>
  <c r="Q6" i="12"/>
  <c r="Q5" i="12"/>
  <c r="Q4" i="12"/>
  <c r="Q3" i="12"/>
  <c r="Q2" i="12"/>
  <c r="D97" i="12" s="1"/>
  <c r="E97" i="12" s="1"/>
  <c r="Q1" i="12"/>
  <c r="Q12" i="12" l="1"/>
  <c r="Q13" i="12"/>
  <c r="Q11" i="12"/>
  <c r="Q14" i="12"/>
  <c r="Q9" i="12"/>
  <c r="J81" i="12" s="1"/>
  <c r="E102" i="12"/>
  <c r="Q10" i="12"/>
  <c r="I91" i="12"/>
  <c r="D103" i="12"/>
  <c r="E103" i="12" s="1"/>
  <c r="J89" i="12" l="1"/>
  <c r="I88" i="12"/>
  <c r="J90" i="12"/>
  <c r="J88" i="12"/>
  <c r="I89" i="12"/>
  <c r="J86" i="12"/>
  <c r="J87" i="12"/>
  <c r="I90" i="12"/>
  <c r="Q18" i="12"/>
  <c r="I81" i="12"/>
  <c r="J84" i="12"/>
  <c r="I84" i="12"/>
  <c r="Q17" i="12"/>
  <c r="F28" i="3"/>
  <c r="E28" i="3"/>
  <c r="F27" i="3"/>
  <c r="E27" i="3"/>
  <c r="D85" i="12" l="1"/>
  <c r="D86" i="12" s="1"/>
  <c r="D84" i="12"/>
  <c r="D91" i="12" s="1"/>
  <c r="E91" i="12" s="1"/>
  <c r="F15" i="3"/>
  <c r="E15" i="3"/>
  <c r="D11" i="3"/>
  <c r="D9" i="3"/>
  <c r="D8" i="3"/>
  <c r="K89" i="12" l="1"/>
  <c r="J92" i="12"/>
  <c r="K87" i="12"/>
  <c r="K90" i="12"/>
  <c r="K88" i="12"/>
  <c r="K86" i="12"/>
  <c r="E84" i="12"/>
  <c r="K91" i="12"/>
  <c r="K82" i="12"/>
  <c r="K81" i="12"/>
  <c r="K84" i="12"/>
  <c r="D110" i="12"/>
  <c r="D89" i="12"/>
  <c r="E89" i="12" s="1"/>
  <c r="D96" i="12"/>
  <c r="E96" i="12" s="1"/>
  <c r="D87" i="12"/>
  <c r="E87" i="12" s="1"/>
  <c r="E86" i="12"/>
  <c r="E85" i="12"/>
  <c r="D90" i="12"/>
  <c r="E90" i="12" s="1"/>
  <c r="B33" i="2"/>
  <c r="E110" i="12" l="1"/>
  <c r="D111" i="12"/>
  <c r="E111" i="12" s="1"/>
  <c r="C47" i="3"/>
  <c r="C19" i="3" l="1"/>
  <c r="E19" i="3" s="1"/>
  <c r="D19" i="3"/>
  <c r="F19" i="3" s="1"/>
  <c r="D16" i="3" l="1"/>
  <c r="F16" i="3" s="1"/>
  <c r="C16" i="3"/>
  <c r="E16" i="3" s="1"/>
  <c r="C29" i="3"/>
  <c r="E29" i="3" s="1"/>
  <c r="D18" i="3"/>
  <c r="F18" i="3" s="1"/>
  <c r="C18" i="3"/>
  <c r="E18" i="3" s="1"/>
  <c r="F41" i="3" l="1"/>
  <c r="F40" i="3" s="1"/>
  <c r="E41" i="3"/>
  <c r="D41" i="3"/>
  <c r="C41" i="3"/>
  <c r="D29" i="3"/>
  <c r="F29" i="3" s="1"/>
  <c r="C30" i="3" l="1"/>
  <c r="E30" i="3" s="1"/>
  <c r="E40" i="3"/>
  <c r="D30" i="3"/>
  <c r="F30" i="3" s="1"/>
  <c r="G49" i="5"/>
  <c r="G48" i="5"/>
  <c r="G47" i="5"/>
  <c r="G46" i="5"/>
  <c r="G45" i="5"/>
  <c r="K44" i="5"/>
  <c r="K45" i="5" s="1"/>
  <c r="K46" i="5" s="1"/>
  <c r="L46" i="5" s="1"/>
  <c r="I44" i="5"/>
  <c r="I45" i="5" s="1"/>
  <c r="G44" i="5"/>
  <c r="C44" i="5"/>
  <c r="A44" i="5"/>
  <c r="B44" i="5" s="1"/>
  <c r="L43" i="5"/>
  <c r="J43" i="5"/>
  <c r="G43" i="5"/>
  <c r="D43" i="5"/>
  <c r="B43" i="5"/>
  <c r="D31" i="5"/>
  <c r="E31" i="5" s="1"/>
  <c r="E30" i="5"/>
  <c r="N27" i="5"/>
  <c r="O27" i="5" s="1"/>
  <c r="O26" i="5"/>
  <c r="D22" i="5"/>
  <c r="D23" i="5" s="1"/>
  <c r="E23" i="5" s="1"/>
  <c r="G21" i="5"/>
  <c r="E21" i="5"/>
  <c r="H20" i="5"/>
  <c r="D13" i="5"/>
  <c r="E12" i="5"/>
  <c r="E11" i="5"/>
  <c r="E10" i="5"/>
  <c r="E9" i="5"/>
  <c r="E8" i="5"/>
  <c r="J7" i="5"/>
  <c r="J8" i="5" s="1"/>
  <c r="E7" i="5"/>
  <c r="K6" i="5"/>
  <c r="L6" i="5" s="1"/>
  <c r="E6" i="5"/>
  <c r="N5" i="5"/>
  <c r="K5" i="5"/>
  <c r="L5" i="5" s="1"/>
  <c r="G5" i="5"/>
  <c r="H5" i="5" s="1"/>
  <c r="E5" i="5"/>
  <c r="A5" i="5"/>
  <c r="O4" i="5"/>
  <c r="P4" i="5" s="1"/>
  <c r="K4" i="5"/>
  <c r="L4" i="5" s="1"/>
  <c r="H4" i="5"/>
  <c r="E4" i="5"/>
  <c r="B4" i="5"/>
  <c r="O3" i="5"/>
  <c r="P3" i="5" s="1"/>
  <c r="K3" i="5"/>
  <c r="L3" i="5" s="1"/>
  <c r="AH267" i="4"/>
  <c r="AJ266" i="4"/>
  <c r="AH266" i="4"/>
  <c r="AK266" i="4" s="1"/>
  <c r="AD266" i="4"/>
  <c r="AE266" i="4" s="1"/>
  <c r="AF266" i="4" s="1"/>
  <c r="AG266" i="4" s="1"/>
  <c r="AP266" i="4" s="1"/>
  <c r="AO266" i="4" s="1"/>
  <c r="X266" i="4"/>
  <c r="Z266" i="4" s="1"/>
  <c r="U266" i="4"/>
  <c r="AJ265" i="4"/>
  <c r="AH265" i="4"/>
  <c r="AD265" i="4"/>
  <c r="AE265" i="4" s="1"/>
  <c r="AF265" i="4" s="1"/>
  <c r="AG265" i="4" s="1"/>
  <c r="AP265" i="4" s="1"/>
  <c r="AO265" i="4" s="1"/>
  <c r="X265" i="4"/>
  <c r="Z265" i="4" s="1"/>
  <c r="AA265" i="4" s="1"/>
  <c r="AN265" i="4" s="1"/>
  <c r="U265" i="4"/>
  <c r="AJ264" i="4"/>
  <c r="AH264" i="4"/>
  <c r="AD264" i="4"/>
  <c r="AE264" i="4" s="1"/>
  <c r="AF264" i="4" s="1"/>
  <c r="AG264" i="4" s="1"/>
  <c r="AP264" i="4" s="1"/>
  <c r="AO264" i="4" s="1"/>
  <c r="X264" i="4"/>
  <c r="Z264" i="4" s="1"/>
  <c r="U264" i="4"/>
  <c r="AJ263" i="4"/>
  <c r="AH263" i="4"/>
  <c r="AD263" i="4"/>
  <c r="AE263" i="4" s="1"/>
  <c r="AF263" i="4" s="1"/>
  <c r="AG263" i="4" s="1"/>
  <c r="AP263" i="4" s="1"/>
  <c r="AO263" i="4" s="1"/>
  <c r="X263" i="4"/>
  <c r="Z263" i="4" s="1"/>
  <c r="AB263" i="4" s="1"/>
  <c r="AC263" i="4" s="1"/>
  <c r="U263" i="4"/>
  <c r="AJ262" i="4"/>
  <c r="AH262" i="4"/>
  <c r="AD262" i="4"/>
  <c r="AE262" i="4" s="1"/>
  <c r="AF262" i="4" s="1"/>
  <c r="AG262" i="4" s="1"/>
  <c r="AP262" i="4" s="1"/>
  <c r="AO262" i="4" s="1"/>
  <c r="X262" i="4"/>
  <c r="Z262" i="4" s="1"/>
  <c r="U262" i="4"/>
  <c r="AJ261" i="4"/>
  <c r="AH261" i="4"/>
  <c r="AD261" i="4"/>
  <c r="AE261" i="4" s="1"/>
  <c r="AF261" i="4" s="1"/>
  <c r="AG261" i="4" s="1"/>
  <c r="AP261" i="4" s="1"/>
  <c r="AO261" i="4" s="1"/>
  <c r="X261" i="4"/>
  <c r="Z261" i="4" s="1"/>
  <c r="U261" i="4"/>
  <c r="AJ260" i="4"/>
  <c r="AH260" i="4"/>
  <c r="AD260" i="4"/>
  <c r="AE260" i="4" s="1"/>
  <c r="AF260" i="4" s="1"/>
  <c r="AG260" i="4" s="1"/>
  <c r="AP260" i="4" s="1"/>
  <c r="AO260" i="4" s="1"/>
  <c r="X260" i="4"/>
  <c r="Z260" i="4" s="1"/>
  <c r="U260" i="4"/>
  <c r="AJ259" i="4"/>
  <c r="AH259" i="4"/>
  <c r="X259" i="4"/>
  <c r="Z259" i="4" s="1"/>
  <c r="U259" i="4"/>
  <c r="AJ258" i="4"/>
  <c r="AH258" i="4"/>
  <c r="X258" i="4"/>
  <c r="Z258" i="4" s="1"/>
  <c r="U258" i="4"/>
  <c r="AJ257" i="4"/>
  <c r="AH257" i="4"/>
  <c r="X257" i="4"/>
  <c r="Z257" i="4" s="1"/>
  <c r="AA257" i="4" s="1"/>
  <c r="AN257" i="4" s="1"/>
  <c r="U257" i="4"/>
  <c r="AJ256" i="4"/>
  <c r="AH256" i="4"/>
  <c r="X256" i="4"/>
  <c r="Z256" i="4" s="1"/>
  <c r="AB256" i="4" s="1"/>
  <c r="U256" i="4"/>
  <c r="AJ255" i="4"/>
  <c r="AH255" i="4"/>
  <c r="X255" i="4"/>
  <c r="Z255" i="4" s="1"/>
  <c r="AA255" i="4" s="1"/>
  <c r="AN255" i="4" s="1"/>
  <c r="U255" i="4"/>
  <c r="AJ254" i="4"/>
  <c r="AH254" i="4"/>
  <c r="AD254" i="4"/>
  <c r="AE254" i="4" s="1"/>
  <c r="AF254" i="4" s="1"/>
  <c r="AG254" i="4" s="1"/>
  <c r="AP254" i="4" s="1"/>
  <c r="AO254" i="4" s="1"/>
  <c r="X254" i="4"/>
  <c r="Z254" i="4" s="1"/>
  <c r="AA254" i="4" s="1"/>
  <c r="AN254" i="4" s="1"/>
  <c r="U254" i="4"/>
  <c r="AJ253" i="4"/>
  <c r="AH253" i="4"/>
  <c r="AD253" i="4"/>
  <c r="AE253" i="4" s="1"/>
  <c r="AF253" i="4" s="1"/>
  <c r="AG253" i="4" s="1"/>
  <c r="AP253" i="4" s="1"/>
  <c r="AO253" i="4" s="1"/>
  <c r="X253" i="4"/>
  <c r="Z253" i="4" s="1"/>
  <c r="AA253" i="4" s="1"/>
  <c r="AN253" i="4" s="1"/>
  <c r="U253" i="4"/>
  <c r="AJ252" i="4"/>
  <c r="AH252" i="4"/>
  <c r="AD252" i="4"/>
  <c r="AE252" i="4" s="1"/>
  <c r="AF252" i="4" s="1"/>
  <c r="AG252" i="4" s="1"/>
  <c r="AP252" i="4" s="1"/>
  <c r="AO252" i="4" s="1"/>
  <c r="X252" i="4"/>
  <c r="Z252" i="4" s="1"/>
  <c r="U252" i="4"/>
  <c r="AJ251" i="4"/>
  <c r="AH251" i="4"/>
  <c r="AD251" i="4"/>
  <c r="AE251" i="4" s="1"/>
  <c r="AF251" i="4" s="1"/>
  <c r="AG251" i="4" s="1"/>
  <c r="AP251" i="4" s="1"/>
  <c r="AO251" i="4" s="1"/>
  <c r="X251" i="4"/>
  <c r="Z251" i="4" s="1"/>
  <c r="AA251" i="4" s="1"/>
  <c r="AN251" i="4" s="1"/>
  <c r="U251" i="4"/>
  <c r="AJ250" i="4"/>
  <c r="AH250" i="4"/>
  <c r="AD250" i="4"/>
  <c r="AE250" i="4" s="1"/>
  <c r="AF250" i="4" s="1"/>
  <c r="AG250" i="4" s="1"/>
  <c r="AP250" i="4" s="1"/>
  <c r="AO250" i="4" s="1"/>
  <c r="X250" i="4"/>
  <c r="Z250" i="4" s="1"/>
  <c r="U250" i="4"/>
  <c r="AJ249" i="4"/>
  <c r="AH249" i="4"/>
  <c r="AD249" i="4"/>
  <c r="AE249" i="4" s="1"/>
  <c r="AF249" i="4" s="1"/>
  <c r="AG249" i="4" s="1"/>
  <c r="AP249" i="4" s="1"/>
  <c r="AO249" i="4" s="1"/>
  <c r="X249" i="4"/>
  <c r="Z249" i="4" s="1"/>
  <c r="U249" i="4"/>
  <c r="AJ248" i="4"/>
  <c r="AH248" i="4"/>
  <c r="AD248" i="4"/>
  <c r="AE248" i="4" s="1"/>
  <c r="AF248" i="4" s="1"/>
  <c r="AG248" i="4" s="1"/>
  <c r="AP248" i="4" s="1"/>
  <c r="AO248" i="4" s="1"/>
  <c r="X248" i="4"/>
  <c r="Z248" i="4" s="1"/>
  <c r="U248" i="4"/>
  <c r="AJ247" i="4"/>
  <c r="AH247" i="4"/>
  <c r="AD247" i="4"/>
  <c r="AE247" i="4" s="1"/>
  <c r="AF247" i="4" s="1"/>
  <c r="AG247" i="4" s="1"/>
  <c r="AP247" i="4" s="1"/>
  <c r="AO247" i="4" s="1"/>
  <c r="X247" i="4"/>
  <c r="Z247" i="4" s="1"/>
  <c r="AA247" i="4" s="1"/>
  <c r="AN247" i="4" s="1"/>
  <c r="U247" i="4"/>
  <c r="AJ246" i="4"/>
  <c r="AH246" i="4"/>
  <c r="AD246" i="4"/>
  <c r="AE246" i="4" s="1"/>
  <c r="AF246" i="4" s="1"/>
  <c r="AG246" i="4" s="1"/>
  <c r="AP246" i="4" s="1"/>
  <c r="AO246" i="4" s="1"/>
  <c r="X246" i="4"/>
  <c r="Z246" i="4" s="1"/>
  <c r="U246" i="4"/>
  <c r="AJ245" i="4"/>
  <c r="AH245" i="4"/>
  <c r="AK245" i="4" s="1"/>
  <c r="AD245" i="4"/>
  <c r="AE245" i="4" s="1"/>
  <c r="AF245" i="4" s="1"/>
  <c r="AG245" i="4" s="1"/>
  <c r="AP245" i="4" s="1"/>
  <c r="AO245" i="4" s="1"/>
  <c r="X245" i="4"/>
  <c r="Z245" i="4" s="1"/>
  <c r="AB245" i="4" s="1"/>
  <c r="AC245" i="4" s="1"/>
  <c r="U245" i="4"/>
  <c r="AJ244" i="4"/>
  <c r="AH244" i="4"/>
  <c r="AD244" i="4"/>
  <c r="AE244" i="4" s="1"/>
  <c r="AF244" i="4" s="1"/>
  <c r="AG244" i="4" s="1"/>
  <c r="AP244" i="4" s="1"/>
  <c r="AO244" i="4" s="1"/>
  <c r="X244" i="4"/>
  <c r="Z244" i="4" s="1"/>
  <c r="AB244" i="4" s="1"/>
  <c r="AC244" i="4" s="1"/>
  <c r="U244" i="4"/>
  <c r="AJ243" i="4"/>
  <c r="AH243" i="4"/>
  <c r="AD243" i="4"/>
  <c r="AE243" i="4" s="1"/>
  <c r="AF243" i="4" s="1"/>
  <c r="AG243" i="4" s="1"/>
  <c r="AP243" i="4" s="1"/>
  <c r="AO243" i="4" s="1"/>
  <c r="X243" i="4"/>
  <c r="Z243" i="4" s="1"/>
  <c r="AA243" i="4" s="1"/>
  <c r="AN243" i="4" s="1"/>
  <c r="U243" i="4"/>
  <c r="AJ242" i="4"/>
  <c r="AH242" i="4"/>
  <c r="AD242" i="4"/>
  <c r="AE242" i="4" s="1"/>
  <c r="AF242" i="4" s="1"/>
  <c r="AG242" i="4" s="1"/>
  <c r="AP242" i="4" s="1"/>
  <c r="AO242" i="4" s="1"/>
  <c r="X242" i="4"/>
  <c r="Z242" i="4" s="1"/>
  <c r="AA242" i="4" s="1"/>
  <c r="AN242" i="4" s="1"/>
  <c r="U242" i="4"/>
  <c r="AJ241" i="4"/>
  <c r="AH241" i="4"/>
  <c r="AD241" i="4"/>
  <c r="AE241" i="4" s="1"/>
  <c r="AF241" i="4" s="1"/>
  <c r="AG241" i="4" s="1"/>
  <c r="AP241" i="4" s="1"/>
  <c r="AO241" i="4" s="1"/>
  <c r="X241" i="4"/>
  <c r="Z241" i="4" s="1"/>
  <c r="AA241" i="4" s="1"/>
  <c r="AN241" i="4" s="1"/>
  <c r="U241" i="4"/>
  <c r="AJ240" i="4"/>
  <c r="AH240" i="4"/>
  <c r="AD240" i="4"/>
  <c r="AE240" i="4" s="1"/>
  <c r="AF240" i="4" s="1"/>
  <c r="AG240" i="4" s="1"/>
  <c r="AP240" i="4" s="1"/>
  <c r="AO240" i="4" s="1"/>
  <c r="X240" i="4"/>
  <c r="Z240" i="4" s="1"/>
  <c r="AA240" i="4" s="1"/>
  <c r="AN240" i="4" s="1"/>
  <c r="U240" i="4"/>
  <c r="AJ239" i="4"/>
  <c r="AH239" i="4"/>
  <c r="AD239" i="4"/>
  <c r="AE239" i="4" s="1"/>
  <c r="AF239" i="4" s="1"/>
  <c r="AG239" i="4" s="1"/>
  <c r="AP239" i="4" s="1"/>
  <c r="AO239" i="4" s="1"/>
  <c r="X239" i="4"/>
  <c r="Z239" i="4" s="1"/>
  <c r="AA239" i="4" s="1"/>
  <c r="AN239" i="4" s="1"/>
  <c r="U239" i="4"/>
  <c r="AJ238" i="4"/>
  <c r="AH238" i="4"/>
  <c r="AD238" i="4"/>
  <c r="AE238" i="4" s="1"/>
  <c r="AF238" i="4" s="1"/>
  <c r="AG238" i="4" s="1"/>
  <c r="AP238" i="4" s="1"/>
  <c r="AO238" i="4" s="1"/>
  <c r="X238" i="4"/>
  <c r="Z238" i="4" s="1"/>
  <c r="U238" i="4"/>
  <c r="AJ237" i="4"/>
  <c r="AH237" i="4"/>
  <c r="AD237" i="4"/>
  <c r="AE237" i="4" s="1"/>
  <c r="AF237" i="4" s="1"/>
  <c r="AG237" i="4" s="1"/>
  <c r="AP237" i="4" s="1"/>
  <c r="AO237" i="4" s="1"/>
  <c r="X237" i="4"/>
  <c r="Z237" i="4" s="1"/>
  <c r="U237" i="4"/>
  <c r="AJ236" i="4"/>
  <c r="AH236" i="4"/>
  <c r="AD236" i="4"/>
  <c r="AE236" i="4" s="1"/>
  <c r="AF236" i="4" s="1"/>
  <c r="AG236" i="4" s="1"/>
  <c r="AP236" i="4" s="1"/>
  <c r="AO236" i="4" s="1"/>
  <c r="X236" i="4"/>
  <c r="Z236" i="4" s="1"/>
  <c r="AB236" i="4" s="1"/>
  <c r="AC236" i="4" s="1"/>
  <c r="U236" i="4"/>
  <c r="AJ235" i="4"/>
  <c r="AH235" i="4"/>
  <c r="AD235" i="4"/>
  <c r="AE235" i="4" s="1"/>
  <c r="AF235" i="4" s="1"/>
  <c r="AG235" i="4" s="1"/>
  <c r="AP235" i="4" s="1"/>
  <c r="AO235" i="4" s="1"/>
  <c r="X235" i="4"/>
  <c r="Z235" i="4" s="1"/>
  <c r="AB235" i="4" s="1"/>
  <c r="AC235" i="4" s="1"/>
  <c r="U235" i="4"/>
  <c r="AJ234" i="4"/>
  <c r="AH234" i="4"/>
  <c r="AD234" i="4"/>
  <c r="AE234" i="4" s="1"/>
  <c r="AF234" i="4" s="1"/>
  <c r="AG234" i="4" s="1"/>
  <c r="AP234" i="4" s="1"/>
  <c r="AO234" i="4" s="1"/>
  <c r="X234" i="4"/>
  <c r="Z234" i="4" s="1"/>
  <c r="U234" i="4"/>
  <c r="AJ233" i="4"/>
  <c r="AH233" i="4"/>
  <c r="AD233" i="4"/>
  <c r="AE233" i="4" s="1"/>
  <c r="AF233" i="4" s="1"/>
  <c r="AG233" i="4" s="1"/>
  <c r="AP233" i="4" s="1"/>
  <c r="AO233" i="4" s="1"/>
  <c r="X233" i="4"/>
  <c r="Z233" i="4" s="1"/>
  <c r="U233" i="4"/>
  <c r="AJ232" i="4"/>
  <c r="AH232" i="4"/>
  <c r="AD232" i="4"/>
  <c r="AE232" i="4" s="1"/>
  <c r="AF232" i="4" s="1"/>
  <c r="AG232" i="4" s="1"/>
  <c r="AP232" i="4" s="1"/>
  <c r="AO232" i="4" s="1"/>
  <c r="X232" i="4"/>
  <c r="Z232" i="4" s="1"/>
  <c r="U232" i="4"/>
  <c r="AJ231" i="4"/>
  <c r="AH231" i="4"/>
  <c r="AD231" i="4"/>
  <c r="AE231" i="4" s="1"/>
  <c r="AF231" i="4" s="1"/>
  <c r="AG231" i="4" s="1"/>
  <c r="AP231" i="4" s="1"/>
  <c r="AO231" i="4" s="1"/>
  <c r="X231" i="4"/>
  <c r="Z231" i="4" s="1"/>
  <c r="U231" i="4"/>
  <c r="AJ230" i="4"/>
  <c r="AH230" i="4"/>
  <c r="AD230" i="4"/>
  <c r="AE230" i="4" s="1"/>
  <c r="AF230" i="4" s="1"/>
  <c r="AG230" i="4" s="1"/>
  <c r="AP230" i="4" s="1"/>
  <c r="AO230" i="4" s="1"/>
  <c r="X230" i="4"/>
  <c r="Z230" i="4" s="1"/>
  <c r="U230" i="4"/>
  <c r="AJ229" i="4"/>
  <c r="AH229" i="4"/>
  <c r="AD229" i="4"/>
  <c r="AE229" i="4" s="1"/>
  <c r="AF229" i="4" s="1"/>
  <c r="AG229" i="4" s="1"/>
  <c r="AP229" i="4" s="1"/>
  <c r="AO229" i="4" s="1"/>
  <c r="X229" i="4"/>
  <c r="Z229" i="4" s="1"/>
  <c r="U229" i="4"/>
  <c r="AJ228" i="4"/>
  <c r="AH228" i="4"/>
  <c r="AD228" i="4"/>
  <c r="AE228" i="4" s="1"/>
  <c r="AF228" i="4" s="1"/>
  <c r="AG228" i="4" s="1"/>
  <c r="AP228" i="4" s="1"/>
  <c r="AO228" i="4" s="1"/>
  <c r="X228" i="4"/>
  <c r="Z228" i="4" s="1"/>
  <c r="U228" i="4"/>
  <c r="AJ227" i="4"/>
  <c r="AH227" i="4"/>
  <c r="AD227" i="4"/>
  <c r="AE227" i="4" s="1"/>
  <c r="AF227" i="4" s="1"/>
  <c r="AG227" i="4" s="1"/>
  <c r="AP227" i="4" s="1"/>
  <c r="AO227" i="4" s="1"/>
  <c r="X227" i="4"/>
  <c r="Z227" i="4" s="1"/>
  <c r="AB227" i="4" s="1"/>
  <c r="AC227" i="4" s="1"/>
  <c r="U227" i="4"/>
  <c r="AJ226" i="4"/>
  <c r="AH226" i="4"/>
  <c r="AD226" i="4"/>
  <c r="AE226" i="4" s="1"/>
  <c r="AF226" i="4" s="1"/>
  <c r="AG226" i="4" s="1"/>
  <c r="AP226" i="4" s="1"/>
  <c r="AO226" i="4" s="1"/>
  <c r="X226" i="4"/>
  <c r="Z226" i="4" s="1"/>
  <c r="U226" i="4"/>
  <c r="AJ225" i="4"/>
  <c r="AH225" i="4"/>
  <c r="AD225" i="4"/>
  <c r="AE225" i="4" s="1"/>
  <c r="AF225" i="4" s="1"/>
  <c r="AG225" i="4" s="1"/>
  <c r="AP225" i="4" s="1"/>
  <c r="AO225" i="4" s="1"/>
  <c r="X225" i="4"/>
  <c r="Z225" i="4" s="1"/>
  <c r="AA225" i="4" s="1"/>
  <c r="AN225" i="4" s="1"/>
  <c r="U225" i="4"/>
  <c r="AJ224" i="4"/>
  <c r="AH224" i="4"/>
  <c r="AD224" i="4"/>
  <c r="AE224" i="4" s="1"/>
  <c r="AF224" i="4" s="1"/>
  <c r="AG224" i="4" s="1"/>
  <c r="AP224" i="4" s="1"/>
  <c r="AO224" i="4" s="1"/>
  <c r="X224" i="4"/>
  <c r="Z224" i="4" s="1"/>
  <c r="U224" i="4"/>
  <c r="AJ223" i="4"/>
  <c r="AH223" i="4"/>
  <c r="AD223" i="4"/>
  <c r="AE223" i="4" s="1"/>
  <c r="AF223" i="4" s="1"/>
  <c r="AG223" i="4" s="1"/>
  <c r="AP223" i="4" s="1"/>
  <c r="AO223" i="4" s="1"/>
  <c r="X223" i="4"/>
  <c r="Z223" i="4" s="1"/>
  <c r="AB223" i="4" s="1"/>
  <c r="AC223" i="4" s="1"/>
  <c r="U223" i="4"/>
  <c r="AJ222" i="4"/>
  <c r="AH222" i="4"/>
  <c r="AD222" i="4"/>
  <c r="AE222" i="4" s="1"/>
  <c r="AF222" i="4" s="1"/>
  <c r="AG222" i="4" s="1"/>
  <c r="AP222" i="4" s="1"/>
  <c r="AO222" i="4" s="1"/>
  <c r="X222" i="4"/>
  <c r="Z222" i="4" s="1"/>
  <c r="U222" i="4"/>
  <c r="AJ221" i="4"/>
  <c r="AH221" i="4"/>
  <c r="AD221" i="4"/>
  <c r="AE221" i="4" s="1"/>
  <c r="AF221" i="4" s="1"/>
  <c r="AG221" i="4" s="1"/>
  <c r="AP221" i="4" s="1"/>
  <c r="AO221" i="4" s="1"/>
  <c r="X221" i="4"/>
  <c r="Z221" i="4" s="1"/>
  <c r="AB221" i="4" s="1"/>
  <c r="AC221" i="4" s="1"/>
  <c r="U221" i="4"/>
  <c r="AJ220" i="4"/>
  <c r="AH220" i="4"/>
  <c r="AD220" i="4"/>
  <c r="AE220" i="4" s="1"/>
  <c r="AF220" i="4" s="1"/>
  <c r="AG220" i="4" s="1"/>
  <c r="AP220" i="4" s="1"/>
  <c r="AO220" i="4" s="1"/>
  <c r="X220" i="4"/>
  <c r="Z220" i="4" s="1"/>
  <c r="U220" i="4"/>
  <c r="AJ219" i="4"/>
  <c r="AH219" i="4"/>
  <c r="AD219" i="4"/>
  <c r="AE219" i="4" s="1"/>
  <c r="AF219" i="4" s="1"/>
  <c r="AG219" i="4" s="1"/>
  <c r="AP219" i="4" s="1"/>
  <c r="AO219" i="4" s="1"/>
  <c r="X219" i="4"/>
  <c r="Z219" i="4" s="1"/>
  <c r="AB219" i="4" s="1"/>
  <c r="AC219" i="4" s="1"/>
  <c r="U219" i="4"/>
  <c r="AJ218" i="4"/>
  <c r="AH218" i="4"/>
  <c r="AD218" i="4"/>
  <c r="AE218" i="4" s="1"/>
  <c r="AF218" i="4" s="1"/>
  <c r="AG218" i="4" s="1"/>
  <c r="AP218" i="4" s="1"/>
  <c r="AO218" i="4" s="1"/>
  <c r="X218" i="4"/>
  <c r="Z218" i="4" s="1"/>
  <c r="AA218" i="4" s="1"/>
  <c r="AN218" i="4" s="1"/>
  <c r="U218" i="4"/>
  <c r="AJ217" i="4"/>
  <c r="AH217" i="4"/>
  <c r="AD217" i="4"/>
  <c r="AE217" i="4" s="1"/>
  <c r="AF217" i="4" s="1"/>
  <c r="AG217" i="4" s="1"/>
  <c r="AP217" i="4" s="1"/>
  <c r="AO217" i="4" s="1"/>
  <c r="X217" i="4"/>
  <c r="Z217" i="4" s="1"/>
  <c r="AA217" i="4" s="1"/>
  <c r="AN217" i="4" s="1"/>
  <c r="U217" i="4"/>
  <c r="AJ216" i="4"/>
  <c r="AH216" i="4"/>
  <c r="AD216" i="4"/>
  <c r="AE216" i="4" s="1"/>
  <c r="AF216" i="4" s="1"/>
  <c r="AG216" i="4" s="1"/>
  <c r="AP216" i="4" s="1"/>
  <c r="AO216" i="4" s="1"/>
  <c r="X216" i="4"/>
  <c r="Z216" i="4" s="1"/>
  <c r="AA216" i="4" s="1"/>
  <c r="AN216" i="4" s="1"/>
  <c r="U216" i="4"/>
  <c r="AJ215" i="4"/>
  <c r="AH215" i="4"/>
  <c r="AD215" i="4"/>
  <c r="AE215" i="4" s="1"/>
  <c r="AF215" i="4" s="1"/>
  <c r="AG215" i="4" s="1"/>
  <c r="AP215" i="4" s="1"/>
  <c r="AO215" i="4" s="1"/>
  <c r="X215" i="4"/>
  <c r="Z215" i="4" s="1"/>
  <c r="AB215" i="4" s="1"/>
  <c r="AC215" i="4" s="1"/>
  <c r="U215" i="4"/>
  <c r="AJ214" i="4"/>
  <c r="AH214" i="4"/>
  <c r="AD214" i="4"/>
  <c r="AE214" i="4" s="1"/>
  <c r="AF214" i="4" s="1"/>
  <c r="AG214" i="4" s="1"/>
  <c r="AP214" i="4" s="1"/>
  <c r="AO214" i="4" s="1"/>
  <c r="X214" i="4"/>
  <c r="Z214" i="4" s="1"/>
  <c r="AA214" i="4" s="1"/>
  <c r="AN214" i="4" s="1"/>
  <c r="U214" i="4"/>
  <c r="AJ213" i="4"/>
  <c r="AH213" i="4"/>
  <c r="AD213" i="4"/>
  <c r="AE213" i="4" s="1"/>
  <c r="AF213" i="4" s="1"/>
  <c r="AG213" i="4" s="1"/>
  <c r="AP213" i="4" s="1"/>
  <c r="AO213" i="4" s="1"/>
  <c r="X213" i="4"/>
  <c r="Z213" i="4" s="1"/>
  <c r="U213" i="4"/>
  <c r="AJ212" i="4"/>
  <c r="AH212" i="4"/>
  <c r="X212" i="4"/>
  <c r="Z212" i="4" s="1"/>
  <c r="AB212" i="4" s="1"/>
  <c r="U212" i="4"/>
  <c r="AJ211" i="4"/>
  <c r="AH211" i="4"/>
  <c r="X211" i="4"/>
  <c r="Z211" i="4" s="1"/>
  <c r="AA211" i="4" s="1"/>
  <c r="AN211" i="4" s="1"/>
  <c r="U211" i="4"/>
  <c r="AJ210" i="4"/>
  <c r="AH210" i="4"/>
  <c r="X210" i="4"/>
  <c r="Z210" i="4" s="1"/>
  <c r="U210" i="4"/>
  <c r="AJ209" i="4"/>
  <c r="AH209" i="4"/>
  <c r="Z209" i="4"/>
  <c r="X209" i="4"/>
  <c r="U209" i="4"/>
  <c r="AJ208" i="4"/>
  <c r="AH208" i="4"/>
  <c r="X208" i="4"/>
  <c r="Z208" i="4" s="1"/>
  <c r="AA208" i="4" s="1"/>
  <c r="AN208" i="4" s="1"/>
  <c r="U208" i="4"/>
  <c r="AJ207" i="4"/>
  <c r="AH207" i="4"/>
  <c r="X207" i="4"/>
  <c r="Z207" i="4" s="1"/>
  <c r="U207" i="4"/>
  <c r="AJ206" i="4"/>
  <c r="AH206" i="4"/>
  <c r="Z206" i="4"/>
  <c r="AA206" i="4" s="1"/>
  <c r="AN206" i="4" s="1"/>
  <c r="X206" i="4"/>
  <c r="U206" i="4"/>
  <c r="AJ205" i="4"/>
  <c r="AH205" i="4"/>
  <c r="X205" i="4"/>
  <c r="Z205" i="4" s="1"/>
  <c r="U205" i="4"/>
  <c r="AJ204" i="4"/>
  <c r="AH204" i="4"/>
  <c r="AD204" i="4"/>
  <c r="AE204" i="4" s="1"/>
  <c r="AF204" i="4" s="1"/>
  <c r="AG204" i="4" s="1"/>
  <c r="AP204" i="4" s="1"/>
  <c r="AO204" i="4" s="1"/>
  <c r="Z204" i="4"/>
  <c r="AA204" i="4" s="1"/>
  <c r="AN204" i="4" s="1"/>
  <c r="X204" i="4"/>
  <c r="U204" i="4"/>
  <c r="AJ203" i="4"/>
  <c r="AH203" i="4"/>
  <c r="AD203" i="4"/>
  <c r="AE203" i="4" s="1"/>
  <c r="AF203" i="4" s="1"/>
  <c r="AG203" i="4" s="1"/>
  <c r="AP203" i="4" s="1"/>
  <c r="AO203" i="4" s="1"/>
  <c r="X203" i="4"/>
  <c r="Z203" i="4" s="1"/>
  <c r="AB203" i="4" s="1"/>
  <c r="AC203" i="4" s="1"/>
  <c r="U203" i="4"/>
  <c r="AJ202" i="4"/>
  <c r="AH202" i="4"/>
  <c r="AD202" i="4"/>
  <c r="AE202" i="4" s="1"/>
  <c r="AF202" i="4" s="1"/>
  <c r="AG202" i="4" s="1"/>
  <c r="AP202" i="4" s="1"/>
  <c r="AO202" i="4" s="1"/>
  <c r="X202" i="4"/>
  <c r="Z202" i="4" s="1"/>
  <c r="AB202" i="4" s="1"/>
  <c r="AC202" i="4" s="1"/>
  <c r="U202" i="4"/>
  <c r="AJ201" i="4"/>
  <c r="AH201" i="4"/>
  <c r="AD201" i="4"/>
  <c r="AE201" i="4" s="1"/>
  <c r="AF201" i="4" s="1"/>
  <c r="AG201" i="4" s="1"/>
  <c r="AP201" i="4" s="1"/>
  <c r="AO201" i="4" s="1"/>
  <c r="X201" i="4"/>
  <c r="Z201" i="4" s="1"/>
  <c r="U201" i="4"/>
  <c r="AJ200" i="4"/>
  <c r="AH200" i="4"/>
  <c r="AD200" i="4"/>
  <c r="AE200" i="4" s="1"/>
  <c r="AF200" i="4" s="1"/>
  <c r="AG200" i="4" s="1"/>
  <c r="AP200" i="4" s="1"/>
  <c r="AO200" i="4" s="1"/>
  <c r="X200" i="4"/>
  <c r="Z200" i="4" s="1"/>
  <c r="AA200" i="4" s="1"/>
  <c r="AN200" i="4" s="1"/>
  <c r="U200" i="4"/>
  <c r="AJ199" i="4"/>
  <c r="AH199" i="4"/>
  <c r="AD199" i="4"/>
  <c r="AE199" i="4" s="1"/>
  <c r="AF199" i="4" s="1"/>
  <c r="AG199" i="4" s="1"/>
  <c r="AP199" i="4" s="1"/>
  <c r="AO199" i="4" s="1"/>
  <c r="X199" i="4"/>
  <c r="Z199" i="4" s="1"/>
  <c r="AA199" i="4" s="1"/>
  <c r="AN199" i="4" s="1"/>
  <c r="U199" i="4"/>
  <c r="AJ198" i="4"/>
  <c r="AH198" i="4"/>
  <c r="AK198" i="4" s="1"/>
  <c r="AD198" i="4"/>
  <c r="AE198" i="4" s="1"/>
  <c r="AF198" i="4" s="1"/>
  <c r="AG198" i="4" s="1"/>
  <c r="AP198" i="4" s="1"/>
  <c r="AO198" i="4" s="1"/>
  <c r="X198" i="4"/>
  <c r="Z198" i="4" s="1"/>
  <c r="U198" i="4"/>
  <c r="AJ197" i="4"/>
  <c r="AH197" i="4"/>
  <c r="AD197" i="4"/>
  <c r="AE197" i="4" s="1"/>
  <c r="AF197" i="4" s="1"/>
  <c r="AG197" i="4" s="1"/>
  <c r="AP197" i="4" s="1"/>
  <c r="AO197" i="4" s="1"/>
  <c r="X197" i="4"/>
  <c r="Z197" i="4" s="1"/>
  <c r="AB197" i="4" s="1"/>
  <c r="AC197" i="4" s="1"/>
  <c r="U197" i="4"/>
  <c r="AJ196" i="4"/>
  <c r="AH196" i="4"/>
  <c r="AD196" i="4"/>
  <c r="AE196" i="4" s="1"/>
  <c r="AF196" i="4" s="1"/>
  <c r="AG196" i="4" s="1"/>
  <c r="AP196" i="4" s="1"/>
  <c r="AO196" i="4" s="1"/>
  <c r="X196" i="4"/>
  <c r="Z196" i="4" s="1"/>
  <c r="AA196" i="4" s="1"/>
  <c r="AN196" i="4" s="1"/>
  <c r="U196" i="4"/>
  <c r="AJ195" i="4"/>
  <c r="AH195" i="4"/>
  <c r="AD195" i="4"/>
  <c r="AE195" i="4" s="1"/>
  <c r="AF195" i="4" s="1"/>
  <c r="AG195" i="4" s="1"/>
  <c r="AP195" i="4" s="1"/>
  <c r="AO195" i="4" s="1"/>
  <c r="X195" i="4"/>
  <c r="Z195" i="4" s="1"/>
  <c r="U195" i="4"/>
  <c r="AJ194" i="4"/>
  <c r="AH194" i="4"/>
  <c r="AD194" i="4"/>
  <c r="AE194" i="4" s="1"/>
  <c r="AF194" i="4" s="1"/>
  <c r="AG194" i="4" s="1"/>
  <c r="AP194" i="4" s="1"/>
  <c r="AO194" i="4" s="1"/>
  <c r="X194" i="4"/>
  <c r="Z194" i="4" s="1"/>
  <c r="U194" i="4"/>
  <c r="AJ193" i="4"/>
  <c r="AH193" i="4"/>
  <c r="AD193" i="4"/>
  <c r="AE193" i="4" s="1"/>
  <c r="AF193" i="4" s="1"/>
  <c r="AG193" i="4" s="1"/>
  <c r="AP193" i="4" s="1"/>
  <c r="AO193" i="4" s="1"/>
  <c r="X193" i="4"/>
  <c r="Z193" i="4" s="1"/>
  <c r="AB193" i="4" s="1"/>
  <c r="AC193" i="4" s="1"/>
  <c r="U193" i="4"/>
  <c r="AJ192" i="4"/>
  <c r="AH192" i="4"/>
  <c r="AD192" i="4"/>
  <c r="AE192" i="4" s="1"/>
  <c r="AF192" i="4" s="1"/>
  <c r="AG192" i="4" s="1"/>
  <c r="AP192" i="4" s="1"/>
  <c r="AO192" i="4" s="1"/>
  <c r="X192" i="4"/>
  <c r="Z192" i="4" s="1"/>
  <c r="AA192" i="4" s="1"/>
  <c r="AN192" i="4" s="1"/>
  <c r="U192" i="4"/>
  <c r="AJ191" i="4"/>
  <c r="AH191" i="4"/>
  <c r="AD191" i="4"/>
  <c r="AE191" i="4" s="1"/>
  <c r="AF191" i="4" s="1"/>
  <c r="AG191" i="4" s="1"/>
  <c r="AP191" i="4" s="1"/>
  <c r="AO191" i="4" s="1"/>
  <c r="X191" i="4"/>
  <c r="Z191" i="4" s="1"/>
  <c r="AB191" i="4" s="1"/>
  <c r="AC191" i="4" s="1"/>
  <c r="U191" i="4"/>
  <c r="AJ190" i="4"/>
  <c r="AH190" i="4"/>
  <c r="AD190" i="4"/>
  <c r="AE190" i="4" s="1"/>
  <c r="AF190" i="4" s="1"/>
  <c r="AG190" i="4" s="1"/>
  <c r="AP190" i="4" s="1"/>
  <c r="AO190" i="4" s="1"/>
  <c r="X190" i="4"/>
  <c r="Z190" i="4" s="1"/>
  <c r="AB190" i="4" s="1"/>
  <c r="AC190" i="4" s="1"/>
  <c r="U190" i="4"/>
  <c r="AJ189" i="4"/>
  <c r="AH189" i="4"/>
  <c r="X189" i="4"/>
  <c r="Z189" i="4" s="1"/>
  <c r="U189" i="4"/>
  <c r="AJ188" i="4"/>
  <c r="AH188" i="4"/>
  <c r="X188" i="4"/>
  <c r="Z188" i="4" s="1"/>
  <c r="U188" i="4"/>
  <c r="AJ187" i="4"/>
  <c r="AH187" i="4"/>
  <c r="X187" i="4"/>
  <c r="Z187" i="4" s="1"/>
  <c r="U187" i="4"/>
  <c r="AJ186" i="4"/>
  <c r="AH186" i="4"/>
  <c r="AD186" i="4"/>
  <c r="AE186" i="4" s="1"/>
  <c r="AF186" i="4" s="1"/>
  <c r="AG186" i="4" s="1"/>
  <c r="AP186" i="4" s="1"/>
  <c r="AO186" i="4" s="1"/>
  <c r="X186" i="4"/>
  <c r="Z186" i="4" s="1"/>
  <c r="U186" i="4"/>
  <c r="AJ185" i="4"/>
  <c r="AH185" i="4"/>
  <c r="AD185" i="4"/>
  <c r="AE185" i="4" s="1"/>
  <c r="AF185" i="4" s="1"/>
  <c r="AG185" i="4" s="1"/>
  <c r="AP185" i="4" s="1"/>
  <c r="AO185" i="4" s="1"/>
  <c r="X185" i="4"/>
  <c r="Z185" i="4" s="1"/>
  <c r="AB185" i="4" s="1"/>
  <c r="AC185" i="4" s="1"/>
  <c r="U185" i="4"/>
  <c r="AJ184" i="4"/>
  <c r="AH184" i="4"/>
  <c r="X184" i="4"/>
  <c r="Z184" i="4" s="1"/>
  <c r="U184" i="4"/>
  <c r="AJ183" i="4"/>
  <c r="AH183" i="4"/>
  <c r="AA183" i="4"/>
  <c r="AN183" i="4" s="1"/>
  <c r="X183" i="4"/>
  <c r="Z183" i="4" s="1"/>
  <c r="AB183" i="4" s="1"/>
  <c r="U183" i="4"/>
  <c r="AJ182" i="4"/>
  <c r="AH182" i="4"/>
  <c r="X182" i="4"/>
  <c r="Z182" i="4" s="1"/>
  <c r="AB182" i="4" s="1"/>
  <c r="U182" i="4"/>
  <c r="AJ181" i="4"/>
  <c r="AH181" i="4"/>
  <c r="X181" i="4"/>
  <c r="Z181" i="4" s="1"/>
  <c r="AA181" i="4" s="1"/>
  <c r="AN181" i="4" s="1"/>
  <c r="U181" i="4"/>
  <c r="AJ180" i="4"/>
  <c r="AH180" i="4"/>
  <c r="X180" i="4"/>
  <c r="Z180" i="4" s="1"/>
  <c r="U180" i="4"/>
  <c r="AJ179" i="4"/>
  <c r="AH179" i="4"/>
  <c r="AD179" i="4"/>
  <c r="AE179" i="4" s="1"/>
  <c r="AF179" i="4" s="1"/>
  <c r="AG179" i="4" s="1"/>
  <c r="AP179" i="4" s="1"/>
  <c r="AO179" i="4" s="1"/>
  <c r="X179" i="4"/>
  <c r="Z179" i="4" s="1"/>
  <c r="AA179" i="4" s="1"/>
  <c r="AN179" i="4" s="1"/>
  <c r="U179" i="4"/>
  <c r="AJ178" i="4"/>
  <c r="AH178" i="4"/>
  <c r="AD178" i="4"/>
  <c r="AE178" i="4" s="1"/>
  <c r="AF178" i="4" s="1"/>
  <c r="AG178" i="4" s="1"/>
  <c r="AP178" i="4" s="1"/>
  <c r="AO178" i="4" s="1"/>
  <c r="X178" i="4"/>
  <c r="Z178" i="4" s="1"/>
  <c r="AA178" i="4" s="1"/>
  <c r="AN178" i="4" s="1"/>
  <c r="U178" i="4"/>
  <c r="AJ177" i="4"/>
  <c r="AH177" i="4"/>
  <c r="AD177" i="4"/>
  <c r="AE177" i="4" s="1"/>
  <c r="AF177" i="4" s="1"/>
  <c r="AG177" i="4" s="1"/>
  <c r="AP177" i="4" s="1"/>
  <c r="AO177" i="4" s="1"/>
  <c r="X177" i="4"/>
  <c r="Z177" i="4" s="1"/>
  <c r="U177" i="4"/>
  <c r="AJ176" i="4"/>
  <c r="AH176" i="4"/>
  <c r="AD176" i="4"/>
  <c r="AE176" i="4" s="1"/>
  <c r="AF176" i="4" s="1"/>
  <c r="AG176" i="4" s="1"/>
  <c r="AP176" i="4" s="1"/>
  <c r="AO176" i="4" s="1"/>
  <c r="X176" i="4"/>
  <c r="Z176" i="4" s="1"/>
  <c r="AB176" i="4" s="1"/>
  <c r="AC176" i="4" s="1"/>
  <c r="U176" i="4"/>
  <c r="AJ175" i="4"/>
  <c r="AH175" i="4"/>
  <c r="AD175" i="4"/>
  <c r="AE175" i="4" s="1"/>
  <c r="AF175" i="4" s="1"/>
  <c r="AG175" i="4" s="1"/>
  <c r="AP175" i="4" s="1"/>
  <c r="AO175" i="4" s="1"/>
  <c r="X175" i="4"/>
  <c r="Z175" i="4" s="1"/>
  <c r="AB175" i="4" s="1"/>
  <c r="AC175" i="4" s="1"/>
  <c r="U175" i="4"/>
  <c r="AJ174" i="4"/>
  <c r="AH174" i="4"/>
  <c r="AD174" i="4"/>
  <c r="AE174" i="4" s="1"/>
  <c r="AF174" i="4" s="1"/>
  <c r="AG174" i="4" s="1"/>
  <c r="AP174" i="4" s="1"/>
  <c r="AO174" i="4" s="1"/>
  <c r="X174" i="4"/>
  <c r="Z174" i="4" s="1"/>
  <c r="AA174" i="4" s="1"/>
  <c r="AN174" i="4" s="1"/>
  <c r="U174" i="4"/>
  <c r="AJ173" i="4"/>
  <c r="AH173" i="4"/>
  <c r="AD173" i="4"/>
  <c r="AE173" i="4" s="1"/>
  <c r="AF173" i="4" s="1"/>
  <c r="AG173" i="4" s="1"/>
  <c r="AP173" i="4" s="1"/>
  <c r="AO173" i="4" s="1"/>
  <c r="X173" i="4"/>
  <c r="Z173" i="4" s="1"/>
  <c r="AA173" i="4" s="1"/>
  <c r="AN173" i="4" s="1"/>
  <c r="U173" i="4"/>
  <c r="AJ172" i="4"/>
  <c r="AH172" i="4"/>
  <c r="AD172" i="4"/>
  <c r="AE172" i="4" s="1"/>
  <c r="AF172" i="4" s="1"/>
  <c r="AG172" i="4" s="1"/>
  <c r="AP172" i="4" s="1"/>
  <c r="AO172" i="4" s="1"/>
  <c r="X172" i="4"/>
  <c r="Z172" i="4" s="1"/>
  <c r="U172" i="4"/>
  <c r="AJ171" i="4"/>
  <c r="AH171" i="4"/>
  <c r="AD171" i="4"/>
  <c r="AE171" i="4" s="1"/>
  <c r="AF171" i="4" s="1"/>
  <c r="AG171" i="4" s="1"/>
  <c r="AP171" i="4" s="1"/>
  <c r="AO171" i="4" s="1"/>
  <c r="X171" i="4"/>
  <c r="Z171" i="4" s="1"/>
  <c r="U171" i="4"/>
  <c r="AJ170" i="4"/>
  <c r="AH170" i="4"/>
  <c r="AD170" i="4"/>
  <c r="AE170" i="4" s="1"/>
  <c r="AF170" i="4" s="1"/>
  <c r="AG170" i="4" s="1"/>
  <c r="AP170" i="4" s="1"/>
  <c r="AO170" i="4" s="1"/>
  <c r="X170" i="4"/>
  <c r="Z170" i="4" s="1"/>
  <c r="U170" i="4"/>
  <c r="AJ169" i="4"/>
  <c r="AH169" i="4"/>
  <c r="AD169" i="4"/>
  <c r="AE169" i="4" s="1"/>
  <c r="AF169" i="4" s="1"/>
  <c r="AG169" i="4" s="1"/>
  <c r="AP169" i="4" s="1"/>
  <c r="AO169" i="4" s="1"/>
  <c r="X169" i="4"/>
  <c r="Z169" i="4" s="1"/>
  <c r="U169" i="4"/>
  <c r="AJ168" i="4"/>
  <c r="AH168" i="4"/>
  <c r="AD168" i="4"/>
  <c r="AE168" i="4" s="1"/>
  <c r="AF168" i="4" s="1"/>
  <c r="AG168" i="4" s="1"/>
  <c r="AP168" i="4" s="1"/>
  <c r="AO168" i="4" s="1"/>
  <c r="X168" i="4"/>
  <c r="Z168" i="4" s="1"/>
  <c r="U168" i="4"/>
  <c r="AJ167" i="4"/>
  <c r="AH167" i="4"/>
  <c r="AD167" i="4"/>
  <c r="AE167" i="4" s="1"/>
  <c r="AF167" i="4" s="1"/>
  <c r="AG167" i="4" s="1"/>
  <c r="AP167" i="4" s="1"/>
  <c r="AO167" i="4" s="1"/>
  <c r="X167" i="4"/>
  <c r="Z167" i="4" s="1"/>
  <c r="AA167" i="4" s="1"/>
  <c r="AN167" i="4" s="1"/>
  <c r="U167" i="4"/>
  <c r="AJ166" i="4"/>
  <c r="AH166" i="4"/>
  <c r="AD166" i="4"/>
  <c r="AE166" i="4" s="1"/>
  <c r="AF166" i="4" s="1"/>
  <c r="AG166" i="4" s="1"/>
  <c r="AP166" i="4" s="1"/>
  <c r="AO166" i="4" s="1"/>
  <c r="X166" i="4"/>
  <c r="Z166" i="4" s="1"/>
  <c r="U166" i="4"/>
  <c r="AJ165" i="4"/>
  <c r="AH165" i="4"/>
  <c r="AD165" i="4"/>
  <c r="AE165" i="4" s="1"/>
  <c r="AF165" i="4" s="1"/>
  <c r="AG165" i="4" s="1"/>
  <c r="AP165" i="4" s="1"/>
  <c r="AO165" i="4" s="1"/>
  <c r="X165" i="4"/>
  <c r="Z165" i="4" s="1"/>
  <c r="AB165" i="4" s="1"/>
  <c r="AC165" i="4" s="1"/>
  <c r="U165" i="4"/>
  <c r="AJ164" i="4"/>
  <c r="AH164" i="4"/>
  <c r="X164" i="4"/>
  <c r="Z164" i="4" s="1"/>
  <c r="U164" i="4"/>
  <c r="AJ163" i="4"/>
  <c r="AH163" i="4"/>
  <c r="X163" i="4"/>
  <c r="Z163" i="4" s="1"/>
  <c r="AA163" i="4" s="1"/>
  <c r="AN163" i="4" s="1"/>
  <c r="U163" i="4"/>
  <c r="AJ162" i="4"/>
  <c r="AH162" i="4"/>
  <c r="X162" i="4"/>
  <c r="Z162" i="4" s="1"/>
  <c r="U162" i="4"/>
  <c r="AJ161" i="4"/>
  <c r="AH161" i="4"/>
  <c r="AD161" i="4"/>
  <c r="AE161" i="4" s="1"/>
  <c r="AF161" i="4" s="1"/>
  <c r="AG161" i="4" s="1"/>
  <c r="AP161" i="4" s="1"/>
  <c r="AO161" i="4" s="1"/>
  <c r="X161" i="4"/>
  <c r="Z161" i="4" s="1"/>
  <c r="U161" i="4"/>
  <c r="AJ160" i="4"/>
  <c r="AH160" i="4"/>
  <c r="X160" i="4"/>
  <c r="Z160" i="4" s="1"/>
  <c r="AA160" i="4" s="1"/>
  <c r="AN160" i="4" s="1"/>
  <c r="U160" i="4"/>
  <c r="AJ159" i="4"/>
  <c r="AH159" i="4"/>
  <c r="X159" i="4"/>
  <c r="Z159" i="4" s="1"/>
  <c r="AB159" i="4" s="1"/>
  <c r="AC159" i="4" s="1"/>
  <c r="U159" i="4"/>
  <c r="AJ158" i="4"/>
  <c r="AH158" i="4"/>
  <c r="X158" i="4"/>
  <c r="Z158" i="4" s="1"/>
  <c r="AB158" i="4" s="1"/>
  <c r="U158" i="4"/>
  <c r="AJ157" i="4"/>
  <c r="AH157" i="4"/>
  <c r="X157" i="4"/>
  <c r="Z157" i="4" s="1"/>
  <c r="U157" i="4"/>
  <c r="AJ156" i="4"/>
  <c r="AH156" i="4"/>
  <c r="X156" i="4"/>
  <c r="Z156" i="4" s="1"/>
  <c r="U156" i="4"/>
  <c r="AJ155" i="4"/>
  <c r="AH155" i="4"/>
  <c r="AD155" i="4"/>
  <c r="AE155" i="4" s="1"/>
  <c r="AF155" i="4" s="1"/>
  <c r="AG155" i="4" s="1"/>
  <c r="AP155" i="4" s="1"/>
  <c r="AO155" i="4" s="1"/>
  <c r="X155" i="4"/>
  <c r="Z155" i="4" s="1"/>
  <c r="U155" i="4"/>
  <c r="AJ154" i="4"/>
  <c r="AH154" i="4"/>
  <c r="AD154" i="4"/>
  <c r="AE154" i="4" s="1"/>
  <c r="AF154" i="4" s="1"/>
  <c r="AG154" i="4" s="1"/>
  <c r="AP154" i="4" s="1"/>
  <c r="AO154" i="4" s="1"/>
  <c r="Z154" i="4"/>
  <c r="AA154" i="4" s="1"/>
  <c r="AN154" i="4" s="1"/>
  <c r="X154" i="4"/>
  <c r="U154" i="4"/>
  <c r="AJ153" i="4"/>
  <c r="AH153" i="4"/>
  <c r="AD153" i="4"/>
  <c r="AE153" i="4" s="1"/>
  <c r="AF153" i="4" s="1"/>
  <c r="AG153" i="4" s="1"/>
  <c r="AP153" i="4" s="1"/>
  <c r="AO153" i="4" s="1"/>
  <c r="X153" i="4"/>
  <c r="Z153" i="4" s="1"/>
  <c r="U153" i="4"/>
  <c r="AJ152" i="4"/>
  <c r="AH152" i="4"/>
  <c r="AD152" i="4"/>
  <c r="AE152" i="4" s="1"/>
  <c r="AF152" i="4" s="1"/>
  <c r="AG152" i="4" s="1"/>
  <c r="AP152" i="4" s="1"/>
  <c r="AO152" i="4" s="1"/>
  <c r="X152" i="4"/>
  <c r="Z152" i="4" s="1"/>
  <c r="U152" i="4"/>
  <c r="AJ151" i="4"/>
  <c r="AH151" i="4"/>
  <c r="AD151" i="4"/>
  <c r="AE151" i="4" s="1"/>
  <c r="AF151" i="4" s="1"/>
  <c r="AG151" i="4" s="1"/>
  <c r="AP151" i="4" s="1"/>
  <c r="AO151" i="4" s="1"/>
  <c r="X151" i="4"/>
  <c r="Z151" i="4" s="1"/>
  <c r="AB151" i="4" s="1"/>
  <c r="AC151" i="4" s="1"/>
  <c r="U151" i="4"/>
  <c r="AJ150" i="4"/>
  <c r="AH150" i="4"/>
  <c r="AD150" i="4"/>
  <c r="AE150" i="4" s="1"/>
  <c r="AF150" i="4" s="1"/>
  <c r="AG150" i="4" s="1"/>
  <c r="AP150" i="4" s="1"/>
  <c r="AO150" i="4" s="1"/>
  <c r="X150" i="4"/>
  <c r="Z150" i="4" s="1"/>
  <c r="U150" i="4"/>
  <c r="AJ149" i="4"/>
  <c r="AH149" i="4"/>
  <c r="AD149" i="4"/>
  <c r="AE149" i="4" s="1"/>
  <c r="AF149" i="4" s="1"/>
  <c r="AG149" i="4" s="1"/>
  <c r="AP149" i="4" s="1"/>
  <c r="AO149" i="4" s="1"/>
  <c r="X149" i="4"/>
  <c r="Z149" i="4" s="1"/>
  <c r="U149" i="4"/>
  <c r="AJ148" i="4"/>
  <c r="AH148" i="4"/>
  <c r="AD148" i="4"/>
  <c r="AE148" i="4" s="1"/>
  <c r="AF148" i="4" s="1"/>
  <c r="AG148" i="4" s="1"/>
  <c r="AP148" i="4" s="1"/>
  <c r="AO148" i="4" s="1"/>
  <c r="X148" i="4"/>
  <c r="Z148" i="4" s="1"/>
  <c r="U148" i="4"/>
  <c r="AJ147" i="4"/>
  <c r="AH147" i="4"/>
  <c r="AD147" i="4"/>
  <c r="AE147" i="4" s="1"/>
  <c r="AF147" i="4" s="1"/>
  <c r="AG147" i="4" s="1"/>
  <c r="AP147" i="4" s="1"/>
  <c r="AO147" i="4" s="1"/>
  <c r="X147" i="4"/>
  <c r="Z147" i="4" s="1"/>
  <c r="AB147" i="4" s="1"/>
  <c r="AC147" i="4" s="1"/>
  <c r="U147" i="4"/>
  <c r="AJ146" i="4"/>
  <c r="AH146" i="4"/>
  <c r="AD146" i="4"/>
  <c r="AE146" i="4" s="1"/>
  <c r="AF146" i="4" s="1"/>
  <c r="AG146" i="4" s="1"/>
  <c r="AP146" i="4" s="1"/>
  <c r="AO146" i="4" s="1"/>
  <c r="X146" i="4"/>
  <c r="Z146" i="4" s="1"/>
  <c r="U146" i="4"/>
  <c r="AJ145" i="4"/>
  <c r="AH145" i="4"/>
  <c r="AD145" i="4"/>
  <c r="AE145" i="4" s="1"/>
  <c r="AF145" i="4" s="1"/>
  <c r="AG145" i="4" s="1"/>
  <c r="AP145" i="4" s="1"/>
  <c r="AO145" i="4" s="1"/>
  <c r="X145" i="4"/>
  <c r="Z145" i="4" s="1"/>
  <c r="U145" i="4"/>
  <c r="AJ144" i="4"/>
  <c r="AH144" i="4"/>
  <c r="AD144" i="4"/>
  <c r="AE144" i="4" s="1"/>
  <c r="AF144" i="4" s="1"/>
  <c r="AG144" i="4" s="1"/>
  <c r="AP144" i="4" s="1"/>
  <c r="AO144" i="4" s="1"/>
  <c r="X144" i="4"/>
  <c r="Z144" i="4" s="1"/>
  <c r="U144" i="4"/>
  <c r="AJ143" i="4"/>
  <c r="AH143" i="4"/>
  <c r="AD143" i="4"/>
  <c r="AE143" i="4" s="1"/>
  <c r="AF143" i="4" s="1"/>
  <c r="AG143" i="4" s="1"/>
  <c r="AP143" i="4" s="1"/>
  <c r="AO143" i="4" s="1"/>
  <c r="X143" i="4"/>
  <c r="Z143" i="4" s="1"/>
  <c r="AB143" i="4" s="1"/>
  <c r="AC143" i="4" s="1"/>
  <c r="U143" i="4"/>
  <c r="AJ142" i="4"/>
  <c r="AH142" i="4"/>
  <c r="X142" i="4"/>
  <c r="Z142" i="4" s="1"/>
  <c r="U142" i="4"/>
  <c r="AJ141" i="4"/>
  <c r="AH141" i="4"/>
  <c r="X141" i="4"/>
  <c r="Z141" i="4" s="1"/>
  <c r="AB141" i="4" s="1"/>
  <c r="AD141" i="4" s="1"/>
  <c r="AE141" i="4" s="1"/>
  <c r="AF141" i="4" s="1"/>
  <c r="AG141" i="4" s="1"/>
  <c r="AP141" i="4" s="1"/>
  <c r="AO141" i="4" s="1"/>
  <c r="U141" i="4"/>
  <c r="AJ140" i="4"/>
  <c r="AH140" i="4"/>
  <c r="AD140" i="4"/>
  <c r="AE140" i="4" s="1"/>
  <c r="AF140" i="4" s="1"/>
  <c r="AG140" i="4" s="1"/>
  <c r="AP140" i="4" s="1"/>
  <c r="AO140" i="4" s="1"/>
  <c r="X140" i="4"/>
  <c r="Z140" i="4" s="1"/>
  <c r="AA140" i="4" s="1"/>
  <c r="AN140" i="4" s="1"/>
  <c r="U140" i="4"/>
  <c r="AJ139" i="4"/>
  <c r="AH139" i="4"/>
  <c r="X139" i="4"/>
  <c r="Z139" i="4" s="1"/>
  <c r="U139" i="4"/>
  <c r="AJ138" i="4"/>
  <c r="AH138" i="4"/>
  <c r="X138" i="4"/>
  <c r="Z138" i="4" s="1"/>
  <c r="U138" i="4"/>
  <c r="AJ137" i="4"/>
  <c r="AH137" i="4"/>
  <c r="X137" i="4"/>
  <c r="Z137" i="4" s="1"/>
  <c r="AB137" i="4" s="1"/>
  <c r="AD137" i="4" s="1"/>
  <c r="AE137" i="4" s="1"/>
  <c r="AF137" i="4" s="1"/>
  <c r="AG137" i="4" s="1"/>
  <c r="AP137" i="4" s="1"/>
  <c r="AO137" i="4" s="1"/>
  <c r="U137" i="4"/>
  <c r="AJ136" i="4"/>
  <c r="AH136" i="4"/>
  <c r="AD136" i="4"/>
  <c r="AE136" i="4" s="1"/>
  <c r="AF136" i="4" s="1"/>
  <c r="AG136" i="4" s="1"/>
  <c r="AP136" i="4" s="1"/>
  <c r="AO136" i="4" s="1"/>
  <c r="X136" i="4"/>
  <c r="Z136" i="4" s="1"/>
  <c r="AB136" i="4" s="1"/>
  <c r="AC136" i="4" s="1"/>
  <c r="U136" i="4"/>
  <c r="AJ135" i="4"/>
  <c r="AH135" i="4"/>
  <c r="AD135" i="4"/>
  <c r="AE135" i="4" s="1"/>
  <c r="AF135" i="4" s="1"/>
  <c r="AG135" i="4" s="1"/>
  <c r="AP135" i="4" s="1"/>
  <c r="AO135" i="4" s="1"/>
  <c r="X135" i="4"/>
  <c r="Z135" i="4" s="1"/>
  <c r="AB135" i="4" s="1"/>
  <c r="AC135" i="4" s="1"/>
  <c r="U135" i="4"/>
  <c r="AJ134" i="4"/>
  <c r="AH134" i="4"/>
  <c r="X134" i="4"/>
  <c r="Z134" i="4" s="1"/>
  <c r="U134" i="4"/>
  <c r="AJ133" i="4"/>
  <c r="AH133" i="4"/>
  <c r="X133" i="4"/>
  <c r="Z133" i="4" s="1"/>
  <c r="U133" i="4"/>
  <c r="AJ132" i="4"/>
  <c r="AH132" i="4"/>
  <c r="AD132" i="4"/>
  <c r="AE132" i="4" s="1"/>
  <c r="AF132" i="4" s="1"/>
  <c r="AG132" i="4" s="1"/>
  <c r="AP132" i="4" s="1"/>
  <c r="AO132" i="4" s="1"/>
  <c r="X132" i="4"/>
  <c r="Z132" i="4" s="1"/>
  <c r="U132" i="4"/>
  <c r="AJ131" i="4"/>
  <c r="AH131" i="4"/>
  <c r="AD131" i="4"/>
  <c r="AE131" i="4" s="1"/>
  <c r="AF131" i="4" s="1"/>
  <c r="AG131" i="4" s="1"/>
  <c r="AP131" i="4" s="1"/>
  <c r="AO131" i="4" s="1"/>
  <c r="X131" i="4"/>
  <c r="Z131" i="4" s="1"/>
  <c r="U131" i="4"/>
  <c r="AJ130" i="4"/>
  <c r="AH130" i="4"/>
  <c r="AD130" i="4"/>
  <c r="AE130" i="4" s="1"/>
  <c r="AF130" i="4" s="1"/>
  <c r="AG130" i="4" s="1"/>
  <c r="AP130" i="4" s="1"/>
  <c r="AO130" i="4" s="1"/>
  <c r="X130" i="4"/>
  <c r="Z130" i="4" s="1"/>
  <c r="U130" i="4"/>
  <c r="AJ129" i="4"/>
  <c r="AH129" i="4"/>
  <c r="AD129" i="4"/>
  <c r="AE129" i="4" s="1"/>
  <c r="AF129" i="4" s="1"/>
  <c r="AG129" i="4" s="1"/>
  <c r="AP129" i="4" s="1"/>
  <c r="AO129" i="4" s="1"/>
  <c r="X129" i="4"/>
  <c r="Z129" i="4" s="1"/>
  <c r="U129" i="4"/>
  <c r="AJ128" i="4"/>
  <c r="AH128" i="4"/>
  <c r="AD128" i="4"/>
  <c r="AE128" i="4" s="1"/>
  <c r="AF128" i="4" s="1"/>
  <c r="AG128" i="4" s="1"/>
  <c r="AP128" i="4" s="1"/>
  <c r="AO128" i="4" s="1"/>
  <c r="X128" i="4"/>
  <c r="Z128" i="4" s="1"/>
  <c r="U128" i="4"/>
  <c r="AJ127" i="4"/>
  <c r="AH127" i="4"/>
  <c r="AD127" i="4"/>
  <c r="AE127" i="4" s="1"/>
  <c r="AF127" i="4" s="1"/>
  <c r="AG127" i="4" s="1"/>
  <c r="AP127" i="4" s="1"/>
  <c r="AO127" i="4" s="1"/>
  <c r="X127" i="4"/>
  <c r="Z127" i="4" s="1"/>
  <c r="AB127" i="4" s="1"/>
  <c r="AC127" i="4" s="1"/>
  <c r="U127" i="4"/>
  <c r="AJ126" i="4"/>
  <c r="AH126" i="4"/>
  <c r="AD126" i="4"/>
  <c r="AE126" i="4" s="1"/>
  <c r="AF126" i="4" s="1"/>
  <c r="AG126" i="4" s="1"/>
  <c r="AP126" i="4" s="1"/>
  <c r="AO126" i="4" s="1"/>
  <c r="X126" i="4"/>
  <c r="Z126" i="4" s="1"/>
  <c r="AB126" i="4" s="1"/>
  <c r="AC126" i="4" s="1"/>
  <c r="U126" i="4"/>
  <c r="AJ125" i="4"/>
  <c r="AH125" i="4"/>
  <c r="AD125" i="4"/>
  <c r="AE125" i="4" s="1"/>
  <c r="AF125" i="4" s="1"/>
  <c r="AG125" i="4" s="1"/>
  <c r="AP125" i="4" s="1"/>
  <c r="AO125" i="4" s="1"/>
  <c r="X125" i="4"/>
  <c r="Z125" i="4" s="1"/>
  <c r="U125" i="4"/>
  <c r="AJ124" i="4"/>
  <c r="AH124" i="4"/>
  <c r="AD124" i="4"/>
  <c r="AE124" i="4" s="1"/>
  <c r="AF124" i="4" s="1"/>
  <c r="AG124" i="4" s="1"/>
  <c r="AP124" i="4" s="1"/>
  <c r="AO124" i="4" s="1"/>
  <c r="X124" i="4"/>
  <c r="Z124" i="4" s="1"/>
  <c r="U124" i="4"/>
  <c r="AJ123" i="4"/>
  <c r="AH123" i="4"/>
  <c r="AD123" i="4"/>
  <c r="AE123" i="4" s="1"/>
  <c r="AF123" i="4" s="1"/>
  <c r="AG123" i="4" s="1"/>
  <c r="AP123" i="4" s="1"/>
  <c r="AO123" i="4" s="1"/>
  <c r="X123" i="4"/>
  <c r="Z123" i="4" s="1"/>
  <c r="U123" i="4"/>
  <c r="AJ122" i="4"/>
  <c r="AH122" i="4"/>
  <c r="AD122" i="4"/>
  <c r="AE122" i="4" s="1"/>
  <c r="AF122" i="4" s="1"/>
  <c r="AG122" i="4" s="1"/>
  <c r="AP122" i="4" s="1"/>
  <c r="AO122" i="4" s="1"/>
  <c r="X122" i="4"/>
  <c r="Z122" i="4" s="1"/>
  <c r="AB122" i="4" s="1"/>
  <c r="AC122" i="4" s="1"/>
  <c r="U122" i="4"/>
  <c r="AJ121" i="4"/>
  <c r="AH121" i="4"/>
  <c r="AD121" i="4"/>
  <c r="AE121" i="4" s="1"/>
  <c r="AF121" i="4" s="1"/>
  <c r="AG121" i="4" s="1"/>
  <c r="AP121" i="4" s="1"/>
  <c r="AO121" i="4" s="1"/>
  <c r="X121" i="4"/>
  <c r="Z121" i="4" s="1"/>
  <c r="U121" i="4"/>
  <c r="AJ120" i="4"/>
  <c r="AH120" i="4"/>
  <c r="AD120" i="4"/>
  <c r="AE120" i="4" s="1"/>
  <c r="AF120" i="4" s="1"/>
  <c r="AG120" i="4" s="1"/>
  <c r="AP120" i="4" s="1"/>
  <c r="AO120" i="4" s="1"/>
  <c r="X120" i="4"/>
  <c r="Z120" i="4" s="1"/>
  <c r="AA120" i="4" s="1"/>
  <c r="AN120" i="4" s="1"/>
  <c r="U120" i="4"/>
  <c r="AJ119" i="4"/>
  <c r="AH119" i="4"/>
  <c r="AD119" i="4"/>
  <c r="AE119" i="4" s="1"/>
  <c r="AF119" i="4" s="1"/>
  <c r="AG119" i="4" s="1"/>
  <c r="AP119" i="4" s="1"/>
  <c r="AO119" i="4" s="1"/>
  <c r="X119" i="4"/>
  <c r="Z119" i="4" s="1"/>
  <c r="U119" i="4"/>
  <c r="AJ118" i="4"/>
  <c r="AH118" i="4"/>
  <c r="X118" i="4"/>
  <c r="Z118" i="4" s="1"/>
  <c r="AA118" i="4" s="1"/>
  <c r="AN118" i="4" s="1"/>
  <c r="U118" i="4"/>
  <c r="AJ117" i="4"/>
  <c r="AH117" i="4"/>
  <c r="X117" i="4"/>
  <c r="Z117" i="4" s="1"/>
  <c r="U117" i="4"/>
  <c r="AJ116" i="4"/>
  <c r="AH116" i="4"/>
  <c r="X116" i="4"/>
  <c r="Z116" i="4" s="1"/>
  <c r="U116" i="4"/>
  <c r="AJ115" i="4"/>
  <c r="AH115" i="4"/>
  <c r="X115" i="4"/>
  <c r="Z115" i="4" s="1"/>
  <c r="AB115" i="4" s="1"/>
  <c r="U115" i="4"/>
  <c r="AJ114" i="4"/>
  <c r="AH114" i="4"/>
  <c r="AD114" i="4"/>
  <c r="AE114" i="4" s="1"/>
  <c r="AF114" i="4" s="1"/>
  <c r="AG114" i="4" s="1"/>
  <c r="AP114" i="4" s="1"/>
  <c r="AO114" i="4" s="1"/>
  <c r="X114" i="4"/>
  <c r="Z114" i="4" s="1"/>
  <c r="U114" i="4"/>
  <c r="AJ113" i="4"/>
  <c r="AH113" i="4"/>
  <c r="X113" i="4"/>
  <c r="Z113" i="4" s="1"/>
  <c r="AA113" i="4" s="1"/>
  <c r="AN113" i="4" s="1"/>
  <c r="U113" i="4"/>
  <c r="AJ112" i="4"/>
  <c r="AH112" i="4"/>
  <c r="X112" i="4"/>
  <c r="Z112" i="4" s="1"/>
  <c r="AA112" i="4" s="1"/>
  <c r="AN112" i="4" s="1"/>
  <c r="U112" i="4"/>
  <c r="AJ111" i="4"/>
  <c r="AH111" i="4"/>
  <c r="X111" i="4"/>
  <c r="Z111" i="4" s="1"/>
  <c r="U111" i="4"/>
  <c r="AJ110" i="4"/>
  <c r="AH110" i="4"/>
  <c r="AD110" i="4"/>
  <c r="AE110" i="4" s="1"/>
  <c r="AF110" i="4" s="1"/>
  <c r="AG110" i="4" s="1"/>
  <c r="AP110" i="4" s="1"/>
  <c r="AO110" i="4" s="1"/>
  <c r="X110" i="4"/>
  <c r="Z110" i="4" s="1"/>
  <c r="U110" i="4"/>
  <c r="AJ109" i="4"/>
  <c r="AH109" i="4"/>
  <c r="AD109" i="4"/>
  <c r="AE109" i="4" s="1"/>
  <c r="AF109" i="4" s="1"/>
  <c r="AG109" i="4" s="1"/>
  <c r="AP109" i="4" s="1"/>
  <c r="AO109" i="4" s="1"/>
  <c r="X109" i="4"/>
  <c r="Z109" i="4" s="1"/>
  <c r="U109" i="4"/>
  <c r="AJ108" i="4"/>
  <c r="AH108" i="4"/>
  <c r="AD108" i="4"/>
  <c r="AE108" i="4" s="1"/>
  <c r="AF108" i="4" s="1"/>
  <c r="AG108" i="4" s="1"/>
  <c r="AP108" i="4" s="1"/>
  <c r="AO108" i="4" s="1"/>
  <c r="X108" i="4"/>
  <c r="Z108" i="4" s="1"/>
  <c r="U108" i="4"/>
  <c r="AJ107" i="4"/>
  <c r="AH107" i="4"/>
  <c r="AD107" i="4"/>
  <c r="AE107" i="4" s="1"/>
  <c r="AF107" i="4" s="1"/>
  <c r="AG107" i="4" s="1"/>
  <c r="AP107" i="4" s="1"/>
  <c r="AO107" i="4" s="1"/>
  <c r="X107" i="4"/>
  <c r="Z107" i="4" s="1"/>
  <c r="AB107" i="4" s="1"/>
  <c r="AC107" i="4" s="1"/>
  <c r="U107" i="4"/>
  <c r="AJ106" i="4"/>
  <c r="AH106" i="4"/>
  <c r="AD106" i="4"/>
  <c r="AE106" i="4" s="1"/>
  <c r="AF106" i="4" s="1"/>
  <c r="AG106" i="4" s="1"/>
  <c r="AP106" i="4" s="1"/>
  <c r="AO106" i="4" s="1"/>
  <c r="X106" i="4"/>
  <c r="Z106" i="4" s="1"/>
  <c r="AB106" i="4" s="1"/>
  <c r="AC106" i="4" s="1"/>
  <c r="U106" i="4"/>
  <c r="AJ105" i="4"/>
  <c r="AH105" i="4"/>
  <c r="AK105" i="4" s="1"/>
  <c r="AD105" i="4"/>
  <c r="AE105" i="4" s="1"/>
  <c r="AF105" i="4" s="1"/>
  <c r="AG105" i="4" s="1"/>
  <c r="AP105" i="4" s="1"/>
  <c r="AO105" i="4" s="1"/>
  <c r="X105" i="4"/>
  <c r="Z105" i="4" s="1"/>
  <c r="U105" i="4"/>
  <c r="AJ104" i="4"/>
  <c r="AH104" i="4"/>
  <c r="AD104" i="4"/>
  <c r="AE104" i="4" s="1"/>
  <c r="AF104" i="4" s="1"/>
  <c r="AG104" i="4" s="1"/>
  <c r="AP104" i="4" s="1"/>
  <c r="AO104" i="4" s="1"/>
  <c r="X104" i="4"/>
  <c r="Z104" i="4" s="1"/>
  <c r="U104" i="4"/>
  <c r="AJ103" i="4"/>
  <c r="AH103" i="4"/>
  <c r="AD103" i="4"/>
  <c r="AE103" i="4" s="1"/>
  <c r="AF103" i="4" s="1"/>
  <c r="AG103" i="4" s="1"/>
  <c r="AP103" i="4" s="1"/>
  <c r="AO103" i="4" s="1"/>
  <c r="X103" i="4"/>
  <c r="Z103" i="4" s="1"/>
  <c r="AA103" i="4" s="1"/>
  <c r="AN103" i="4" s="1"/>
  <c r="U103" i="4"/>
  <c r="AJ102" i="4"/>
  <c r="AH102" i="4"/>
  <c r="AK102" i="4" s="1"/>
  <c r="AD102" i="4"/>
  <c r="AE102" i="4" s="1"/>
  <c r="AF102" i="4" s="1"/>
  <c r="AG102" i="4" s="1"/>
  <c r="AP102" i="4" s="1"/>
  <c r="AO102" i="4" s="1"/>
  <c r="X102" i="4"/>
  <c r="Z102" i="4" s="1"/>
  <c r="U102" i="4"/>
  <c r="AJ101" i="4"/>
  <c r="AH101" i="4"/>
  <c r="AD101" i="4"/>
  <c r="AE101" i="4" s="1"/>
  <c r="AF101" i="4" s="1"/>
  <c r="AG101" i="4" s="1"/>
  <c r="AP101" i="4" s="1"/>
  <c r="AO101" i="4" s="1"/>
  <c r="X101" i="4"/>
  <c r="Z101" i="4" s="1"/>
  <c r="AB101" i="4" s="1"/>
  <c r="AC101" i="4" s="1"/>
  <c r="U101" i="4"/>
  <c r="AJ100" i="4"/>
  <c r="AH100" i="4"/>
  <c r="AD100" i="4"/>
  <c r="AE100" i="4" s="1"/>
  <c r="AF100" i="4" s="1"/>
  <c r="AG100" i="4" s="1"/>
  <c r="AP100" i="4" s="1"/>
  <c r="AO100" i="4" s="1"/>
  <c r="X100" i="4"/>
  <c r="Z100" i="4" s="1"/>
  <c r="AB100" i="4" s="1"/>
  <c r="AC100" i="4" s="1"/>
  <c r="U100" i="4"/>
  <c r="AJ99" i="4"/>
  <c r="AH99" i="4"/>
  <c r="AD99" i="4"/>
  <c r="AE99" i="4" s="1"/>
  <c r="AF99" i="4" s="1"/>
  <c r="AG99" i="4" s="1"/>
  <c r="AP99" i="4" s="1"/>
  <c r="AO99" i="4" s="1"/>
  <c r="AA99" i="4"/>
  <c r="AN99" i="4" s="1"/>
  <c r="X99" i="4"/>
  <c r="Z99" i="4" s="1"/>
  <c r="AB99" i="4" s="1"/>
  <c r="AC99" i="4" s="1"/>
  <c r="U99" i="4"/>
  <c r="AJ98" i="4"/>
  <c r="AH98" i="4"/>
  <c r="AD98" i="4"/>
  <c r="AE98" i="4" s="1"/>
  <c r="AF98" i="4" s="1"/>
  <c r="AG98" i="4" s="1"/>
  <c r="AP98" i="4" s="1"/>
  <c r="AO98" i="4" s="1"/>
  <c r="X98" i="4"/>
  <c r="Z98" i="4" s="1"/>
  <c r="U98" i="4"/>
  <c r="AJ97" i="4"/>
  <c r="AH97" i="4"/>
  <c r="AD97" i="4"/>
  <c r="AE97" i="4" s="1"/>
  <c r="AF97" i="4" s="1"/>
  <c r="AG97" i="4" s="1"/>
  <c r="AP97" i="4" s="1"/>
  <c r="AO97" i="4" s="1"/>
  <c r="X97" i="4"/>
  <c r="Z97" i="4" s="1"/>
  <c r="AB97" i="4" s="1"/>
  <c r="AC97" i="4" s="1"/>
  <c r="U97" i="4"/>
  <c r="AJ96" i="4"/>
  <c r="AH96" i="4"/>
  <c r="AD96" i="4"/>
  <c r="AE96" i="4" s="1"/>
  <c r="AF96" i="4" s="1"/>
  <c r="AG96" i="4" s="1"/>
  <c r="AP96" i="4" s="1"/>
  <c r="AO96" i="4" s="1"/>
  <c r="X96" i="4"/>
  <c r="Z96" i="4" s="1"/>
  <c r="AA96" i="4" s="1"/>
  <c r="AN96" i="4" s="1"/>
  <c r="U96" i="4"/>
  <c r="AJ95" i="4"/>
  <c r="AH95" i="4"/>
  <c r="AD95" i="4"/>
  <c r="AE95" i="4" s="1"/>
  <c r="AF95" i="4" s="1"/>
  <c r="AG95" i="4" s="1"/>
  <c r="AP95" i="4" s="1"/>
  <c r="AO95" i="4" s="1"/>
  <c r="X95" i="4"/>
  <c r="Z95" i="4" s="1"/>
  <c r="U95" i="4"/>
  <c r="AJ94" i="4"/>
  <c r="AH94" i="4"/>
  <c r="AD94" i="4"/>
  <c r="AE94" i="4" s="1"/>
  <c r="AF94" i="4" s="1"/>
  <c r="AG94" i="4" s="1"/>
  <c r="AP94" i="4" s="1"/>
  <c r="AO94" i="4" s="1"/>
  <c r="X94" i="4"/>
  <c r="Z94" i="4" s="1"/>
  <c r="U94" i="4"/>
  <c r="AJ93" i="4"/>
  <c r="AH93" i="4"/>
  <c r="AD93" i="4"/>
  <c r="AE93" i="4" s="1"/>
  <c r="AF93" i="4" s="1"/>
  <c r="AG93" i="4" s="1"/>
  <c r="AP93" i="4" s="1"/>
  <c r="AO93" i="4" s="1"/>
  <c r="X93" i="4"/>
  <c r="Z93" i="4" s="1"/>
  <c r="AB93" i="4" s="1"/>
  <c r="AC93" i="4" s="1"/>
  <c r="U93" i="4"/>
  <c r="AJ92" i="4"/>
  <c r="AH92" i="4"/>
  <c r="X92" i="4"/>
  <c r="Z92" i="4" s="1"/>
  <c r="AA92" i="4" s="1"/>
  <c r="AN92" i="4" s="1"/>
  <c r="U92" i="4"/>
  <c r="AJ91" i="4"/>
  <c r="AH91" i="4"/>
  <c r="X91" i="4"/>
  <c r="Z91" i="4" s="1"/>
  <c r="AA91" i="4" s="1"/>
  <c r="AN91" i="4" s="1"/>
  <c r="U91" i="4"/>
  <c r="AJ90" i="4"/>
  <c r="AH90" i="4"/>
  <c r="AD90" i="4"/>
  <c r="AE90" i="4" s="1"/>
  <c r="AF90" i="4" s="1"/>
  <c r="AG90" i="4" s="1"/>
  <c r="AP90" i="4" s="1"/>
  <c r="AO90" i="4" s="1"/>
  <c r="X90" i="4"/>
  <c r="Z90" i="4" s="1"/>
  <c r="U90" i="4"/>
  <c r="AJ89" i="4"/>
  <c r="AH89" i="4"/>
  <c r="X89" i="4"/>
  <c r="Z89" i="4" s="1"/>
  <c r="U89" i="4"/>
  <c r="AJ88" i="4"/>
  <c r="AH88" i="4"/>
  <c r="AD88" i="4"/>
  <c r="AE88" i="4" s="1"/>
  <c r="AF88" i="4" s="1"/>
  <c r="AG88" i="4" s="1"/>
  <c r="AP88" i="4" s="1"/>
  <c r="AO88" i="4" s="1"/>
  <c r="X88" i="4"/>
  <c r="Z88" i="4" s="1"/>
  <c r="AA88" i="4" s="1"/>
  <c r="AN88" i="4" s="1"/>
  <c r="U88" i="4"/>
  <c r="AJ87" i="4"/>
  <c r="AH87" i="4"/>
  <c r="AD87" i="4"/>
  <c r="AE87" i="4" s="1"/>
  <c r="AF87" i="4" s="1"/>
  <c r="AG87" i="4" s="1"/>
  <c r="AP87" i="4" s="1"/>
  <c r="AO87" i="4" s="1"/>
  <c r="X87" i="4"/>
  <c r="Z87" i="4" s="1"/>
  <c r="AB87" i="4" s="1"/>
  <c r="AC87" i="4" s="1"/>
  <c r="U87" i="4"/>
  <c r="AJ86" i="4"/>
  <c r="AH86" i="4"/>
  <c r="AD86" i="4"/>
  <c r="AE86" i="4" s="1"/>
  <c r="AF86" i="4" s="1"/>
  <c r="AG86" i="4" s="1"/>
  <c r="AP86" i="4" s="1"/>
  <c r="AO86" i="4" s="1"/>
  <c r="X86" i="4"/>
  <c r="Z86" i="4" s="1"/>
  <c r="U86" i="4"/>
  <c r="AJ85" i="4"/>
  <c r="AH85" i="4"/>
  <c r="AD85" i="4"/>
  <c r="AE85" i="4" s="1"/>
  <c r="AF85" i="4" s="1"/>
  <c r="AG85" i="4" s="1"/>
  <c r="AP85" i="4" s="1"/>
  <c r="AO85" i="4" s="1"/>
  <c r="X85" i="4"/>
  <c r="Z85" i="4" s="1"/>
  <c r="AB85" i="4" s="1"/>
  <c r="AC85" i="4" s="1"/>
  <c r="U85" i="4"/>
  <c r="AJ84" i="4"/>
  <c r="AH84" i="4"/>
  <c r="AD84" i="4"/>
  <c r="AE84" i="4" s="1"/>
  <c r="AF84" i="4" s="1"/>
  <c r="AG84" i="4" s="1"/>
  <c r="AP84" i="4" s="1"/>
  <c r="AO84" i="4" s="1"/>
  <c r="X84" i="4"/>
  <c r="Z84" i="4" s="1"/>
  <c r="AB84" i="4" s="1"/>
  <c r="AC84" i="4" s="1"/>
  <c r="U84" i="4"/>
  <c r="AJ83" i="4"/>
  <c r="AH83" i="4"/>
  <c r="AD83" i="4"/>
  <c r="AE83" i="4" s="1"/>
  <c r="AF83" i="4" s="1"/>
  <c r="AG83" i="4" s="1"/>
  <c r="AP83" i="4" s="1"/>
  <c r="AO83" i="4" s="1"/>
  <c r="X83" i="4"/>
  <c r="Z83" i="4" s="1"/>
  <c r="AB83" i="4" s="1"/>
  <c r="AC83" i="4" s="1"/>
  <c r="U83" i="4"/>
  <c r="AJ82" i="4"/>
  <c r="AH82" i="4"/>
  <c r="AD82" i="4"/>
  <c r="AE82" i="4" s="1"/>
  <c r="AF82" i="4" s="1"/>
  <c r="AG82" i="4" s="1"/>
  <c r="AP82" i="4" s="1"/>
  <c r="AO82" i="4" s="1"/>
  <c r="X82" i="4"/>
  <c r="Z82" i="4" s="1"/>
  <c r="U82" i="4"/>
  <c r="AJ81" i="4"/>
  <c r="AH81" i="4"/>
  <c r="AD81" i="4"/>
  <c r="AE81" i="4" s="1"/>
  <c r="AF81" i="4" s="1"/>
  <c r="AG81" i="4" s="1"/>
  <c r="AP81" i="4" s="1"/>
  <c r="AO81" i="4" s="1"/>
  <c r="X81" i="4"/>
  <c r="Z81" i="4" s="1"/>
  <c r="U81" i="4"/>
  <c r="AJ80" i="4"/>
  <c r="AH80" i="4"/>
  <c r="AD80" i="4"/>
  <c r="AE80" i="4" s="1"/>
  <c r="AF80" i="4" s="1"/>
  <c r="AG80" i="4" s="1"/>
  <c r="AP80" i="4" s="1"/>
  <c r="AO80" i="4" s="1"/>
  <c r="X80" i="4"/>
  <c r="Z80" i="4" s="1"/>
  <c r="U80" i="4"/>
  <c r="AJ79" i="4"/>
  <c r="AH79" i="4"/>
  <c r="AD79" i="4"/>
  <c r="AE79" i="4" s="1"/>
  <c r="AF79" i="4" s="1"/>
  <c r="AG79" i="4" s="1"/>
  <c r="AP79" i="4" s="1"/>
  <c r="AO79" i="4" s="1"/>
  <c r="X79" i="4"/>
  <c r="Z79" i="4" s="1"/>
  <c r="U79" i="4"/>
  <c r="AJ78" i="4"/>
  <c r="AH78" i="4"/>
  <c r="AD78" i="4"/>
  <c r="AE78" i="4" s="1"/>
  <c r="AF78" i="4" s="1"/>
  <c r="AG78" i="4" s="1"/>
  <c r="AP78" i="4" s="1"/>
  <c r="AO78" i="4" s="1"/>
  <c r="X78" i="4"/>
  <c r="Z78" i="4" s="1"/>
  <c r="U78" i="4"/>
  <c r="AJ77" i="4"/>
  <c r="AH77" i="4"/>
  <c r="AD77" i="4"/>
  <c r="AE77" i="4" s="1"/>
  <c r="AF77" i="4" s="1"/>
  <c r="AG77" i="4" s="1"/>
  <c r="AP77" i="4" s="1"/>
  <c r="AO77" i="4" s="1"/>
  <c r="X77" i="4"/>
  <c r="Z77" i="4" s="1"/>
  <c r="U77" i="4"/>
  <c r="AJ76" i="4"/>
  <c r="AH76" i="4"/>
  <c r="AD76" i="4"/>
  <c r="AE76" i="4" s="1"/>
  <c r="AF76" i="4" s="1"/>
  <c r="AG76" i="4" s="1"/>
  <c r="AP76" i="4" s="1"/>
  <c r="AO76" i="4" s="1"/>
  <c r="X76" i="4"/>
  <c r="Z76" i="4" s="1"/>
  <c r="U76" i="4"/>
  <c r="AJ75" i="4"/>
  <c r="AH75" i="4"/>
  <c r="AD75" i="4"/>
  <c r="AE75" i="4" s="1"/>
  <c r="AF75" i="4" s="1"/>
  <c r="AG75" i="4" s="1"/>
  <c r="AP75" i="4" s="1"/>
  <c r="AO75" i="4" s="1"/>
  <c r="X75" i="4"/>
  <c r="Z75" i="4" s="1"/>
  <c r="AB75" i="4" s="1"/>
  <c r="AC75" i="4" s="1"/>
  <c r="U75" i="4"/>
  <c r="AJ74" i="4"/>
  <c r="AH74" i="4"/>
  <c r="AD74" i="4"/>
  <c r="AE74" i="4" s="1"/>
  <c r="AF74" i="4" s="1"/>
  <c r="AG74" i="4" s="1"/>
  <c r="AP74" i="4" s="1"/>
  <c r="AO74" i="4" s="1"/>
  <c r="X74" i="4"/>
  <c r="Z74" i="4" s="1"/>
  <c r="U74" i="4"/>
  <c r="AJ73" i="4"/>
  <c r="AH73" i="4"/>
  <c r="AD73" i="4"/>
  <c r="AE73" i="4" s="1"/>
  <c r="AF73" i="4" s="1"/>
  <c r="AG73" i="4" s="1"/>
  <c r="AP73" i="4" s="1"/>
  <c r="AO73" i="4" s="1"/>
  <c r="X73" i="4"/>
  <c r="Z73" i="4" s="1"/>
  <c r="U73" i="4"/>
  <c r="AJ72" i="4"/>
  <c r="AH72" i="4"/>
  <c r="AD72" i="4"/>
  <c r="AE72" i="4" s="1"/>
  <c r="AF72" i="4" s="1"/>
  <c r="AG72" i="4" s="1"/>
  <c r="AP72" i="4" s="1"/>
  <c r="AO72" i="4" s="1"/>
  <c r="X72" i="4"/>
  <c r="Z72" i="4" s="1"/>
  <c r="U72" i="4"/>
  <c r="AJ71" i="4"/>
  <c r="AH71" i="4"/>
  <c r="AD71" i="4"/>
  <c r="AE71" i="4" s="1"/>
  <c r="AF71" i="4" s="1"/>
  <c r="AG71" i="4" s="1"/>
  <c r="AP71" i="4" s="1"/>
  <c r="AO71" i="4" s="1"/>
  <c r="X71" i="4"/>
  <c r="Z71" i="4" s="1"/>
  <c r="AA71" i="4" s="1"/>
  <c r="AN71" i="4" s="1"/>
  <c r="U71" i="4"/>
  <c r="AJ70" i="4"/>
  <c r="AH70" i="4"/>
  <c r="AD70" i="4"/>
  <c r="AE70" i="4" s="1"/>
  <c r="AF70" i="4" s="1"/>
  <c r="AG70" i="4" s="1"/>
  <c r="AP70" i="4" s="1"/>
  <c r="AO70" i="4" s="1"/>
  <c r="X70" i="4"/>
  <c r="Z70" i="4" s="1"/>
  <c r="AA70" i="4" s="1"/>
  <c r="AN70" i="4" s="1"/>
  <c r="U70" i="4"/>
  <c r="AJ69" i="4"/>
  <c r="AH69" i="4"/>
  <c r="AD69" i="4"/>
  <c r="AE69" i="4" s="1"/>
  <c r="AF69" i="4" s="1"/>
  <c r="AG69" i="4" s="1"/>
  <c r="AP69" i="4" s="1"/>
  <c r="AO69" i="4" s="1"/>
  <c r="X69" i="4"/>
  <c r="Z69" i="4" s="1"/>
  <c r="U69" i="4"/>
  <c r="AJ68" i="4"/>
  <c r="AH68" i="4"/>
  <c r="AD68" i="4"/>
  <c r="AE68" i="4" s="1"/>
  <c r="AF68" i="4" s="1"/>
  <c r="AG68" i="4" s="1"/>
  <c r="AP68" i="4" s="1"/>
  <c r="AO68" i="4" s="1"/>
  <c r="X68" i="4"/>
  <c r="Z68" i="4" s="1"/>
  <c r="U68" i="4"/>
  <c r="AJ67" i="4"/>
  <c r="AH67" i="4"/>
  <c r="AD67" i="4"/>
  <c r="AE67" i="4" s="1"/>
  <c r="AF67" i="4" s="1"/>
  <c r="AG67" i="4" s="1"/>
  <c r="AP67" i="4" s="1"/>
  <c r="AO67" i="4" s="1"/>
  <c r="X67" i="4"/>
  <c r="Z67" i="4" s="1"/>
  <c r="AB67" i="4" s="1"/>
  <c r="AC67" i="4" s="1"/>
  <c r="U67" i="4"/>
  <c r="AJ66" i="4"/>
  <c r="AH66" i="4"/>
  <c r="X66" i="4"/>
  <c r="Z66" i="4" s="1"/>
  <c r="U66" i="4"/>
  <c r="AJ65" i="4"/>
  <c r="AH65" i="4"/>
  <c r="X65" i="4"/>
  <c r="Z65" i="4" s="1"/>
  <c r="AA65" i="4" s="1"/>
  <c r="AN65" i="4" s="1"/>
  <c r="U65" i="4"/>
  <c r="AJ64" i="4"/>
  <c r="AH64" i="4"/>
  <c r="X64" i="4"/>
  <c r="Z64" i="4" s="1"/>
  <c r="AA64" i="4" s="1"/>
  <c r="AN64" i="4" s="1"/>
  <c r="U64" i="4"/>
  <c r="AJ63" i="4"/>
  <c r="AH63" i="4"/>
  <c r="X63" i="4"/>
  <c r="Z63" i="4" s="1"/>
  <c r="U63" i="4"/>
  <c r="AJ62" i="4"/>
  <c r="AH62" i="4"/>
  <c r="AD62" i="4"/>
  <c r="AE62" i="4" s="1"/>
  <c r="AF62" i="4" s="1"/>
  <c r="AG62" i="4" s="1"/>
  <c r="AP62" i="4" s="1"/>
  <c r="AO62" i="4" s="1"/>
  <c r="X62" i="4"/>
  <c r="Z62" i="4" s="1"/>
  <c r="U62" i="4"/>
  <c r="AJ61" i="4"/>
  <c r="AH61" i="4"/>
  <c r="X61" i="4"/>
  <c r="Z61" i="4" s="1"/>
  <c r="U61" i="4"/>
  <c r="AJ60" i="4"/>
  <c r="AH60" i="4"/>
  <c r="AD60" i="4"/>
  <c r="AE60" i="4" s="1"/>
  <c r="AF60" i="4" s="1"/>
  <c r="AG60" i="4" s="1"/>
  <c r="AP60" i="4" s="1"/>
  <c r="AO60" i="4" s="1"/>
  <c r="X60" i="4"/>
  <c r="Z60" i="4" s="1"/>
  <c r="AB60" i="4" s="1"/>
  <c r="AC60" i="4" s="1"/>
  <c r="U60" i="4"/>
  <c r="AJ59" i="4"/>
  <c r="AH59" i="4"/>
  <c r="AD59" i="4"/>
  <c r="AE59" i="4" s="1"/>
  <c r="AF59" i="4" s="1"/>
  <c r="AG59" i="4" s="1"/>
  <c r="AP59" i="4" s="1"/>
  <c r="AO59" i="4" s="1"/>
  <c r="X59" i="4"/>
  <c r="Z59" i="4" s="1"/>
  <c r="AB59" i="4" s="1"/>
  <c r="AC59" i="4" s="1"/>
  <c r="U59" i="4"/>
  <c r="AJ58" i="4"/>
  <c r="AH58" i="4"/>
  <c r="AD58" i="4"/>
  <c r="AE58" i="4" s="1"/>
  <c r="AF58" i="4" s="1"/>
  <c r="AG58" i="4" s="1"/>
  <c r="AP58" i="4" s="1"/>
  <c r="AO58" i="4" s="1"/>
  <c r="X58" i="4"/>
  <c r="Z58" i="4" s="1"/>
  <c r="U58" i="4"/>
  <c r="AJ57" i="4"/>
  <c r="AH57" i="4"/>
  <c r="AK57" i="4" s="1"/>
  <c r="AD57" i="4"/>
  <c r="AE57" i="4" s="1"/>
  <c r="AF57" i="4" s="1"/>
  <c r="AG57" i="4" s="1"/>
  <c r="AP57" i="4" s="1"/>
  <c r="AO57" i="4" s="1"/>
  <c r="X57" i="4"/>
  <c r="Z57" i="4" s="1"/>
  <c r="U57" i="4"/>
  <c r="AJ56" i="4"/>
  <c r="AH56" i="4"/>
  <c r="AD56" i="4"/>
  <c r="AE56" i="4" s="1"/>
  <c r="AF56" i="4" s="1"/>
  <c r="AG56" i="4" s="1"/>
  <c r="AP56" i="4" s="1"/>
  <c r="AO56" i="4" s="1"/>
  <c r="X56" i="4"/>
  <c r="Z56" i="4" s="1"/>
  <c r="AA56" i="4" s="1"/>
  <c r="AN56" i="4" s="1"/>
  <c r="U56" i="4"/>
  <c r="AJ55" i="4"/>
  <c r="AH55" i="4"/>
  <c r="AD55" i="4"/>
  <c r="AE55" i="4" s="1"/>
  <c r="AF55" i="4" s="1"/>
  <c r="AG55" i="4" s="1"/>
  <c r="AP55" i="4" s="1"/>
  <c r="AO55" i="4" s="1"/>
  <c r="X55" i="4"/>
  <c r="Z55" i="4" s="1"/>
  <c r="U55" i="4"/>
  <c r="AJ54" i="4"/>
  <c r="AH54" i="4"/>
  <c r="AD54" i="4"/>
  <c r="AE54" i="4" s="1"/>
  <c r="AF54" i="4" s="1"/>
  <c r="AG54" i="4" s="1"/>
  <c r="AP54" i="4" s="1"/>
  <c r="AO54" i="4" s="1"/>
  <c r="X54" i="4"/>
  <c r="Z54" i="4" s="1"/>
  <c r="AB54" i="4" s="1"/>
  <c r="AC54" i="4" s="1"/>
  <c r="U54" i="4"/>
  <c r="AJ53" i="4"/>
  <c r="AH53" i="4"/>
  <c r="AD53" i="4"/>
  <c r="AE53" i="4" s="1"/>
  <c r="AF53" i="4" s="1"/>
  <c r="AG53" i="4" s="1"/>
  <c r="AP53" i="4" s="1"/>
  <c r="AO53" i="4" s="1"/>
  <c r="X53" i="4"/>
  <c r="Z53" i="4" s="1"/>
  <c r="U53" i="4"/>
  <c r="AJ52" i="4"/>
  <c r="AH52" i="4"/>
  <c r="AD52" i="4"/>
  <c r="AE52" i="4" s="1"/>
  <c r="AF52" i="4" s="1"/>
  <c r="AG52" i="4" s="1"/>
  <c r="AP52" i="4" s="1"/>
  <c r="AO52" i="4" s="1"/>
  <c r="X52" i="4"/>
  <c r="Z52" i="4" s="1"/>
  <c r="U52" i="4"/>
  <c r="AJ51" i="4"/>
  <c r="AH51" i="4"/>
  <c r="AD51" i="4"/>
  <c r="AE51" i="4" s="1"/>
  <c r="AF51" i="4" s="1"/>
  <c r="AG51" i="4" s="1"/>
  <c r="AP51" i="4" s="1"/>
  <c r="AO51" i="4" s="1"/>
  <c r="X51" i="4"/>
  <c r="Z51" i="4" s="1"/>
  <c r="AB51" i="4" s="1"/>
  <c r="AC51" i="4" s="1"/>
  <c r="U51" i="4"/>
  <c r="AJ50" i="4"/>
  <c r="AH50" i="4"/>
  <c r="AD50" i="4"/>
  <c r="AE50" i="4" s="1"/>
  <c r="AF50" i="4" s="1"/>
  <c r="AG50" i="4" s="1"/>
  <c r="AP50" i="4" s="1"/>
  <c r="AO50" i="4" s="1"/>
  <c r="X50" i="4"/>
  <c r="Z50" i="4" s="1"/>
  <c r="U50" i="4"/>
  <c r="AJ49" i="4"/>
  <c r="AH49" i="4"/>
  <c r="AD49" i="4"/>
  <c r="AE49" i="4" s="1"/>
  <c r="AF49" i="4" s="1"/>
  <c r="AG49" i="4" s="1"/>
  <c r="AP49" i="4" s="1"/>
  <c r="AO49" i="4" s="1"/>
  <c r="X49" i="4"/>
  <c r="Z49" i="4" s="1"/>
  <c r="AB49" i="4" s="1"/>
  <c r="AC49" i="4" s="1"/>
  <c r="U49" i="4"/>
  <c r="AJ48" i="4"/>
  <c r="AH48" i="4"/>
  <c r="AD48" i="4"/>
  <c r="AE48" i="4" s="1"/>
  <c r="AF48" i="4" s="1"/>
  <c r="AG48" i="4" s="1"/>
  <c r="AP48" i="4" s="1"/>
  <c r="AO48" i="4" s="1"/>
  <c r="X48" i="4"/>
  <c r="Z48" i="4" s="1"/>
  <c r="AA48" i="4" s="1"/>
  <c r="AN48" i="4" s="1"/>
  <c r="U48" i="4"/>
  <c r="AJ47" i="4"/>
  <c r="AH47" i="4"/>
  <c r="AD47" i="4"/>
  <c r="AE47" i="4" s="1"/>
  <c r="AF47" i="4" s="1"/>
  <c r="AG47" i="4" s="1"/>
  <c r="AP47" i="4" s="1"/>
  <c r="AO47" i="4" s="1"/>
  <c r="X47" i="4"/>
  <c r="Z47" i="4" s="1"/>
  <c r="U47" i="4"/>
  <c r="AJ46" i="4"/>
  <c r="AH46" i="4"/>
  <c r="X46" i="4"/>
  <c r="Z46" i="4" s="1"/>
  <c r="AA46" i="4" s="1"/>
  <c r="AN46" i="4" s="1"/>
  <c r="U46" i="4"/>
  <c r="AJ45" i="4"/>
  <c r="AH45" i="4"/>
  <c r="X45" i="4"/>
  <c r="Z45" i="4" s="1"/>
  <c r="AA45" i="4" s="1"/>
  <c r="AN45" i="4" s="1"/>
  <c r="U45" i="4"/>
  <c r="AJ44" i="4"/>
  <c r="AH44" i="4"/>
  <c r="X44" i="4"/>
  <c r="Z44" i="4" s="1"/>
  <c r="U44" i="4"/>
  <c r="AJ43" i="4"/>
  <c r="AH43" i="4"/>
  <c r="X43" i="4"/>
  <c r="Z43" i="4" s="1"/>
  <c r="AB43" i="4" s="1"/>
  <c r="U43" i="4"/>
  <c r="AJ42" i="4"/>
  <c r="AH42" i="4"/>
  <c r="X42" i="4"/>
  <c r="Z42" i="4" s="1"/>
  <c r="U42" i="4"/>
  <c r="AJ41" i="4"/>
  <c r="AH41" i="4"/>
  <c r="X41" i="4"/>
  <c r="Z41" i="4" s="1"/>
  <c r="U41" i="4"/>
  <c r="AJ40" i="4"/>
  <c r="AH40" i="4"/>
  <c r="X40" i="4"/>
  <c r="Z40" i="4" s="1"/>
  <c r="AA40" i="4" s="1"/>
  <c r="AN40" i="4" s="1"/>
  <c r="U40" i="4"/>
  <c r="AJ39" i="4"/>
  <c r="AH39" i="4"/>
  <c r="X39" i="4"/>
  <c r="Z39" i="4" s="1"/>
  <c r="U39" i="4"/>
  <c r="AJ38" i="4"/>
  <c r="AH38" i="4"/>
  <c r="X38" i="4"/>
  <c r="Z38" i="4" s="1"/>
  <c r="AB38" i="4" s="1"/>
  <c r="U38" i="4"/>
  <c r="AJ37" i="4"/>
  <c r="AH37" i="4"/>
  <c r="X37" i="4"/>
  <c r="Z37" i="4" s="1"/>
  <c r="AB37" i="4" s="1"/>
  <c r="AD37" i="4" s="1"/>
  <c r="AE37" i="4" s="1"/>
  <c r="AF37" i="4" s="1"/>
  <c r="AG37" i="4" s="1"/>
  <c r="AP37" i="4" s="1"/>
  <c r="AO37" i="4" s="1"/>
  <c r="U37" i="4"/>
  <c r="AJ36" i="4"/>
  <c r="AH36" i="4"/>
  <c r="AD36" i="4"/>
  <c r="AE36" i="4" s="1"/>
  <c r="AF36" i="4" s="1"/>
  <c r="AG36" i="4" s="1"/>
  <c r="AP36" i="4" s="1"/>
  <c r="AO36" i="4" s="1"/>
  <c r="X36" i="4"/>
  <c r="Z36" i="4" s="1"/>
  <c r="U36" i="4"/>
  <c r="AJ35" i="4"/>
  <c r="AH35" i="4"/>
  <c r="AD35" i="4"/>
  <c r="AE35" i="4" s="1"/>
  <c r="AF35" i="4" s="1"/>
  <c r="AG35" i="4" s="1"/>
  <c r="AP35" i="4" s="1"/>
  <c r="AO35" i="4" s="1"/>
  <c r="X35" i="4"/>
  <c r="Z35" i="4" s="1"/>
  <c r="AA35" i="4" s="1"/>
  <c r="AN35" i="4" s="1"/>
  <c r="U35" i="4"/>
  <c r="AJ34" i="4"/>
  <c r="AH34" i="4"/>
  <c r="AD34" i="4"/>
  <c r="AE34" i="4" s="1"/>
  <c r="AF34" i="4" s="1"/>
  <c r="AG34" i="4" s="1"/>
  <c r="AP34" i="4" s="1"/>
  <c r="AO34" i="4" s="1"/>
  <c r="X34" i="4"/>
  <c r="Z34" i="4" s="1"/>
  <c r="U34" i="4"/>
  <c r="AJ33" i="4"/>
  <c r="AH33" i="4"/>
  <c r="AD33" i="4"/>
  <c r="AE33" i="4" s="1"/>
  <c r="AF33" i="4" s="1"/>
  <c r="AG33" i="4" s="1"/>
  <c r="AP33" i="4" s="1"/>
  <c r="AO33" i="4" s="1"/>
  <c r="X33" i="4"/>
  <c r="Z33" i="4" s="1"/>
  <c r="U33" i="4"/>
  <c r="AJ32" i="4"/>
  <c r="AH32" i="4"/>
  <c r="AD32" i="4"/>
  <c r="AE32" i="4" s="1"/>
  <c r="AF32" i="4" s="1"/>
  <c r="AG32" i="4" s="1"/>
  <c r="AP32" i="4" s="1"/>
  <c r="AO32" i="4" s="1"/>
  <c r="X32" i="4"/>
  <c r="Z32" i="4" s="1"/>
  <c r="AA32" i="4" s="1"/>
  <c r="AN32" i="4" s="1"/>
  <c r="U32" i="4"/>
  <c r="AJ31" i="4"/>
  <c r="AH31" i="4"/>
  <c r="AD31" i="4"/>
  <c r="AE31" i="4" s="1"/>
  <c r="AF31" i="4" s="1"/>
  <c r="AG31" i="4" s="1"/>
  <c r="AP31" i="4" s="1"/>
  <c r="AO31" i="4" s="1"/>
  <c r="X31" i="4"/>
  <c r="Z31" i="4" s="1"/>
  <c r="U31" i="4"/>
  <c r="AJ30" i="4"/>
  <c r="AH30" i="4"/>
  <c r="AD30" i="4"/>
  <c r="AE30" i="4" s="1"/>
  <c r="AF30" i="4" s="1"/>
  <c r="AG30" i="4" s="1"/>
  <c r="AP30" i="4" s="1"/>
  <c r="AO30" i="4" s="1"/>
  <c r="X30" i="4"/>
  <c r="Z30" i="4" s="1"/>
  <c r="AB30" i="4" s="1"/>
  <c r="AC30" i="4" s="1"/>
  <c r="U30" i="4"/>
  <c r="AJ29" i="4"/>
  <c r="AH29" i="4"/>
  <c r="AD29" i="4"/>
  <c r="AE29" i="4" s="1"/>
  <c r="AF29" i="4" s="1"/>
  <c r="AG29" i="4" s="1"/>
  <c r="AP29" i="4" s="1"/>
  <c r="AO29" i="4" s="1"/>
  <c r="X29" i="4"/>
  <c r="Z29" i="4" s="1"/>
  <c r="AB29" i="4" s="1"/>
  <c r="AC29" i="4" s="1"/>
  <c r="U29" i="4"/>
  <c r="AJ28" i="4"/>
  <c r="AH28" i="4"/>
  <c r="AD28" i="4"/>
  <c r="AE28" i="4" s="1"/>
  <c r="AF28" i="4" s="1"/>
  <c r="AG28" i="4" s="1"/>
  <c r="AP28" i="4" s="1"/>
  <c r="AO28" i="4" s="1"/>
  <c r="X28" i="4"/>
  <c r="Z28" i="4" s="1"/>
  <c r="U28" i="4"/>
  <c r="AJ27" i="4"/>
  <c r="AH27" i="4"/>
  <c r="AD27" i="4"/>
  <c r="AE27" i="4" s="1"/>
  <c r="AF27" i="4" s="1"/>
  <c r="AG27" i="4" s="1"/>
  <c r="AP27" i="4" s="1"/>
  <c r="AO27" i="4" s="1"/>
  <c r="X27" i="4"/>
  <c r="Z27" i="4" s="1"/>
  <c r="AB27" i="4" s="1"/>
  <c r="AC27" i="4" s="1"/>
  <c r="U27" i="4"/>
  <c r="AJ26" i="4"/>
  <c r="AH26" i="4"/>
  <c r="AD26" i="4"/>
  <c r="AE26" i="4" s="1"/>
  <c r="AF26" i="4" s="1"/>
  <c r="AG26" i="4" s="1"/>
  <c r="AP26" i="4" s="1"/>
  <c r="AO26" i="4" s="1"/>
  <c r="X26" i="4"/>
  <c r="Z26" i="4" s="1"/>
  <c r="U26" i="4"/>
  <c r="AJ25" i="4"/>
  <c r="AH25" i="4"/>
  <c r="AD25" i="4"/>
  <c r="AE25" i="4" s="1"/>
  <c r="AF25" i="4" s="1"/>
  <c r="AG25" i="4" s="1"/>
  <c r="AP25" i="4" s="1"/>
  <c r="AO25" i="4" s="1"/>
  <c r="X25" i="4"/>
  <c r="Z25" i="4" s="1"/>
  <c r="AB25" i="4" s="1"/>
  <c r="AC25" i="4" s="1"/>
  <c r="U25" i="4"/>
  <c r="AJ24" i="4"/>
  <c r="AH24" i="4"/>
  <c r="AD24" i="4"/>
  <c r="AE24" i="4" s="1"/>
  <c r="AF24" i="4" s="1"/>
  <c r="AG24" i="4" s="1"/>
  <c r="AP24" i="4" s="1"/>
  <c r="AO24" i="4" s="1"/>
  <c r="X24" i="4"/>
  <c r="Z24" i="4" s="1"/>
  <c r="AA24" i="4" s="1"/>
  <c r="AN24" i="4" s="1"/>
  <c r="U24" i="4"/>
  <c r="AJ23" i="4"/>
  <c r="AH23" i="4"/>
  <c r="AD23" i="4"/>
  <c r="AE23" i="4" s="1"/>
  <c r="AF23" i="4" s="1"/>
  <c r="AG23" i="4" s="1"/>
  <c r="AP23" i="4" s="1"/>
  <c r="AO23" i="4" s="1"/>
  <c r="X23" i="4"/>
  <c r="Z23" i="4" s="1"/>
  <c r="U23" i="4"/>
  <c r="AJ22" i="4"/>
  <c r="AH22" i="4"/>
  <c r="X22" i="4"/>
  <c r="Z22" i="4" s="1"/>
  <c r="AA22" i="4" s="1"/>
  <c r="AN22" i="4" s="1"/>
  <c r="U22" i="4"/>
  <c r="AJ21" i="4"/>
  <c r="AH21" i="4"/>
  <c r="X21" i="4"/>
  <c r="Z21" i="4" s="1"/>
  <c r="AA21" i="4" s="1"/>
  <c r="AN21" i="4" s="1"/>
  <c r="U21" i="4"/>
  <c r="AJ20" i="4"/>
  <c r="AH20" i="4"/>
  <c r="X20" i="4"/>
  <c r="Z20" i="4" s="1"/>
  <c r="U20" i="4"/>
  <c r="AJ19" i="4"/>
  <c r="AH19" i="4"/>
  <c r="X19" i="4"/>
  <c r="Z19" i="4" s="1"/>
  <c r="AB19" i="4" s="1"/>
  <c r="U19" i="4"/>
  <c r="AJ18" i="4"/>
  <c r="AH18" i="4"/>
  <c r="X18" i="4"/>
  <c r="Z18" i="4" s="1"/>
  <c r="U18" i="4"/>
  <c r="AJ17" i="4"/>
  <c r="AH17" i="4"/>
  <c r="X17" i="4"/>
  <c r="Z17" i="4" s="1"/>
  <c r="U17" i="4"/>
  <c r="AJ16" i="4"/>
  <c r="AH16" i="4"/>
  <c r="X16" i="4"/>
  <c r="Z16" i="4" s="1"/>
  <c r="AA16" i="4" s="1"/>
  <c r="AN16" i="4" s="1"/>
  <c r="U16" i="4"/>
  <c r="AJ15" i="4"/>
  <c r="AH15" i="4"/>
  <c r="X15" i="4"/>
  <c r="Z15" i="4" s="1"/>
  <c r="U15" i="4"/>
  <c r="AJ14" i="4"/>
  <c r="AH14" i="4"/>
  <c r="X14" i="4"/>
  <c r="Z14" i="4" s="1"/>
  <c r="U14" i="4"/>
  <c r="AJ13" i="4"/>
  <c r="AH13" i="4"/>
  <c r="AD13" i="4"/>
  <c r="AE13" i="4" s="1"/>
  <c r="AF13" i="4" s="1"/>
  <c r="AG13" i="4" s="1"/>
  <c r="AP13" i="4" s="1"/>
  <c r="AO13" i="4" s="1"/>
  <c r="X13" i="4"/>
  <c r="Z13" i="4" s="1"/>
  <c r="AA13" i="4" s="1"/>
  <c r="AN13" i="4" s="1"/>
  <c r="U13" i="4"/>
  <c r="AJ12" i="4"/>
  <c r="AH12" i="4"/>
  <c r="AD12" i="4"/>
  <c r="AE12" i="4" s="1"/>
  <c r="AF12" i="4" s="1"/>
  <c r="AG12" i="4" s="1"/>
  <c r="AP12" i="4" s="1"/>
  <c r="AO12" i="4" s="1"/>
  <c r="X12" i="4"/>
  <c r="Z12" i="4" s="1"/>
  <c r="U12" i="4"/>
  <c r="AJ11" i="4"/>
  <c r="AH11" i="4"/>
  <c r="AD11" i="4"/>
  <c r="AE11" i="4" s="1"/>
  <c r="AF11" i="4" s="1"/>
  <c r="AG11" i="4" s="1"/>
  <c r="AP11" i="4" s="1"/>
  <c r="AO11" i="4" s="1"/>
  <c r="X11" i="4"/>
  <c r="Z11" i="4" s="1"/>
  <c r="AB11" i="4" s="1"/>
  <c r="AC11" i="4" s="1"/>
  <c r="U11" i="4"/>
  <c r="AJ10" i="4"/>
  <c r="AH10" i="4"/>
  <c r="AD10" i="4"/>
  <c r="AE10" i="4" s="1"/>
  <c r="AF10" i="4" s="1"/>
  <c r="AG10" i="4" s="1"/>
  <c r="AP10" i="4" s="1"/>
  <c r="AO10" i="4" s="1"/>
  <c r="X10" i="4"/>
  <c r="Z10" i="4" s="1"/>
  <c r="U10" i="4"/>
  <c r="AJ9" i="4"/>
  <c r="AH9" i="4"/>
  <c r="AD9" i="4"/>
  <c r="AE9" i="4" s="1"/>
  <c r="AF9" i="4" s="1"/>
  <c r="AG9" i="4" s="1"/>
  <c r="AP9" i="4" s="1"/>
  <c r="AO9" i="4" s="1"/>
  <c r="X9" i="4"/>
  <c r="Z9" i="4" s="1"/>
  <c r="AB9" i="4" s="1"/>
  <c r="AC9" i="4" s="1"/>
  <c r="U9" i="4"/>
  <c r="AJ8" i="4"/>
  <c r="AH8" i="4"/>
  <c r="AD8" i="4"/>
  <c r="AE8" i="4" s="1"/>
  <c r="AF8" i="4" s="1"/>
  <c r="AG8" i="4" s="1"/>
  <c r="AP8" i="4" s="1"/>
  <c r="AO8" i="4" s="1"/>
  <c r="X8" i="4"/>
  <c r="Z8" i="4" s="1"/>
  <c r="AA8" i="4" s="1"/>
  <c r="AN8" i="4" s="1"/>
  <c r="U8" i="4"/>
  <c r="AJ7" i="4"/>
  <c r="AH7" i="4"/>
  <c r="AD7" i="4"/>
  <c r="AE7" i="4" s="1"/>
  <c r="AF7" i="4" s="1"/>
  <c r="AG7" i="4" s="1"/>
  <c r="AP7" i="4" s="1"/>
  <c r="AO7" i="4" s="1"/>
  <c r="X7" i="4"/>
  <c r="Z7" i="4" s="1"/>
  <c r="U7" i="4"/>
  <c r="AJ6" i="4"/>
  <c r="AH6" i="4"/>
  <c r="AD6" i="4"/>
  <c r="AE6" i="4" s="1"/>
  <c r="AF6" i="4" s="1"/>
  <c r="AG6" i="4" s="1"/>
  <c r="AP6" i="4" s="1"/>
  <c r="AO6" i="4" s="1"/>
  <c r="X6" i="4"/>
  <c r="Z6" i="4" s="1"/>
  <c r="U6" i="4"/>
  <c r="AJ5" i="4"/>
  <c r="AH5" i="4"/>
  <c r="AD5" i="4"/>
  <c r="AE5" i="4" s="1"/>
  <c r="AF5" i="4" s="1"/>
  <c r="AG5" i="4" s="1"/>
  <c r="AP5" i="4" s="1"/>
  <c r="AO5" i="4" s="1"/>
  <c r="X5" i="4"/>
  <c r="Z5" i="4" s="1"/>
  <c r="AB5" i="4" s="1"/>
  <c r="AC5" i="4" s="1"/>
  <c r="U5" i="4"/>
  <c r="AJ4" i="4"/>
  <c r="AH4" i="4"/>
  <c r="X4" i="4"/>
  <c r="Z4" i="4" s="1"/>
  <c r="V4" i="4"/>
  <c r="V5" i="4" s="1"/>
  <c r="V6" i="4" s="1"/>
  <c r="V7" i="4" s="1"/>
  <c r="V8" i="4" s="1"/>
  <c r="V9" i="4" s="1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  <c r="V49" i="4" s="1"/>
  <c r="V50" i="4" s="1"/>
  <c r="V51" i="4" s="1"/>
  <c r="V52" i="4" s="1"/>
  <c r="V53" i="4" s="1"/>
  <c r="V54" i="4" s="1"/>
  <c r="V55" i="4" s="1"/>
  <c r="V56" i="4" s="1"/>
  <c r="V57" i="4" s="1"/>
  <c r="V58" i="4" s="1"/>
  <c r="V59" i="4" s="1"/>
  <c r="V60" i="4" s="1"/>
  <c r="V61" i="4" s="1"/>
  <c r="V62" i="4" s="1"/>
  <c r="V63" i="4" s="1"/>
  <c r="V64" i="4" s="1"/>
  <c r="V65" i="4" s="1"/>
  <c r="V66" i="4" s="1"/>
  <c r="V67" i="4" s="1"/>
  <c r="V68" i="4" s="1"/>
  <c r="V69" i="4" s="1"/>
  <c r="V70" i="4" s="1"/>
  <c r="V71" i="4" s="1"/>
  <c r="V72" i="4" s="1"/>
  <c r="V73" i="4" s="1"/>
  <c r="V74" i="4" s="1"/>
  <c r="V75" i="4" s="1"/>
  <c r="V76" i="4" s="1"/>
  <c r="V77" i="4" s="1"/>
  <c r="V78" i="4" s="1"/>
  <c r="V79" i="4" s="1"/>
  <c r="V80" i="4" s="1"/>
  <c r="V81" i="4" s="1"/>
  <c r="V82" i="4" s="1"/>
  <c r="V83" i="4" s="1"/>
  <c r="V84" i="4" s="1"/>
  <c r="V85" i="4" s="1"/>
  <c r="V86" i="4" s="1"/>
  <c r="V87" i="4" s="1"/>
  <c r="V88" i="4" s="1"/>
  <c r="V89" i="4" s="1"/>
  <c r="V90" i="4" s="1"/>
  <c r="V91" i="4" s="1"/>
  <c r="V92" i="4" s="1"/>
  <c r="V93" i="4" s="1"/>
  <c r="V94" i="4" s="1"/>
  <c r="V95" i="4" s="1"/>
  <c r="V96" i="4" s="1"/>
  <c r="V97" i="4" s="1"/>
  <c r="V98" i="4" s="1"/>
  <c r="V99" i="4" s="1"/>
  <c r="V100" i="4" s="1"/>
  <c r="V101" i="4" s="1"/>
  <c r="V102" i="4" s="1"/>
  <c r="V103" i="4" s="1"/>
  <c r="V104" i="4" s="1"/>
  <c r="V105" i="4" s="1"/>
  <c r="V106" i="4" s="1"/>
  <c r="V107" i="4" s="1"/>
  <c r="V108" i="4" s="1"/>
  <c r="V109" i="4" s="1"/>
  <c r="V110" i="4" s="1"/>
  <c r="V111" i="4" s="1"/>
  <c r="V112" i="4" s="1"/>
  <c r="V113" i="4" s="1"/>
  <c r="V114" i="4" s="1"/>
  <c r="V115" i="4" s="1"/>
  <c r="V116" i="4" s="1"/>
  <c r="V117" i="4" s="1"/>
  <c r="V118" i="4" s="1"/>
  <c r="V119" i="4" s="1"/>
  <c r="V120" i="4" s="1"/>
  <c r="V121" i="4" s="1"/>
  <c r="V122" i="4" s="1"/>
  <c r="V123" i="4" s="1"/>
  <c r="V124" i="4" s="1"/>
  <c r="V125" i="4" s="1"/>
  <c r="V126" i="4" s="1"/>
  <c r="V127" i="4" s="1"/>
  <c r="V128" i="4" s="1"/>
  <c r="V129" i="4" s="1"/>
  <c r="V130" i="4" s="1"/>
  <c r="V131" i="4" s="1"/>
  <c r="V132" i="4" s="1"/>
  <c r="V133" i="4" s="1"/>
  <c r="V134" i="4" s="1"/>
  <c r="V135" i="4" s="1"/>
  <c r="V136" i="4" s="1"/>
  <c r="V137" i="4" s="1"/>
  <c r="V138" i="4" s="1"/>
  <c r="V139" i="4" s="1"/>
  <c r="V140" i="4" s="1"/>
  <c r="V141" i="4" s="1"/>
  <c r="V142" i="4" s="1"/>
  <c r="V143" i="4" s="1"/>
  <c r="V144" i="4" s="1"/>
  <c r="V145" i="4" s="1"/>
  <c r="V146" i="4" s="1"/>
  <c r="V147" i="4" s="1"/>
  <c r="V148" i="4" s="1"/>
  <c r="V149" i="4" s="1"/>
  <c r="V150" i="4" s="1"/>
  <c r="V151" i="4" s="1"/>
  <c r="V152" i="4" s="1"/>
  <c r="V153" i="4" s="1"/>
  <c r="V154" i="4" s="1"/>
  <c r="V155" i="4" s="1"/>
  <c r="V156" i="4" s="1"/>
  <c r="V157" i="4" s="1"/>
  <c r="V158" i="4" s="1"/>
  <c r="V159" i="4" s="1"/>
  <c r="V160" i="4" s="1"/>
  <c r="V161" i="4" s="1"/>
  <c r="V162" i="4" s="1"/>
  <c r="V163" i="4" s="1"/>
  <c r="V164" i="4" s="1"/>
  <c r="V165" i="4" s="1"/>
  <c r="V166" i="4" s="1"/>
  <c r="V167" i="4" s="1"/>
  <c r="V168" i="4" s="1"/>
  <c r="V169" i="4" s="1"/>
  <c r="V170" i="4" s="1"/>
  <c r="V171" i="4" s="1"/>
  <c r="V172" i="4" s="1"/>
  <c r="V173" i="4" s="1"/>
  <c r="V174" i="4" s="1"/>
  <c r="V175" i="4" s="1"/>
  <c r="V176" i="4" s="1"/>
  <c r="V177" i="4" s="1"/>
  <c r="V178" i="4" s="1"/>
  <c r="V179" i="4" s="1"/>
  <c r="V180" i="4" s="1"/>
  <c r="V181" i="4" s="1"/>
  <c r="V182" i="4" s="1"/>
  <c r="V183" i="4" s="1"/>
  <c r="V184" i="4" s="1"/>
  <c r="V185" i="4" s="1"/>
  <c r="V186" i="4" s="1"/>
  <c r="V187" i="4" s="1"/>
  <c r="V188" i="4" s="1"/>
  <c r="V189" i="4" s="1"/>
  <c r="V190" i="4" s="1"/>
  <c r="V191" i="4" s="1"/>
  <c r="V192" i="4" s="1"/>
  <c r="V193" i="4" s="1"/>
  <c r="V194" i="4" s="1"/>
  <c r="V195" i="4" s="1"/>
  <c r="V196" i="4" s="1"/>
  <c r="V197" i="4" s="1"/>
  <c r="V198" i="4" s="1"/>
  <c r="V199" i="4" s="1"/>
  <c r="V200" i="4" s="1"/>
  <c r="V201" i="4" s="1"/>
  <c r="V202" i="4" s="1"/>
  <c r="V203" i="4" s="1"/>
  <c r="V204" i="4" s="1"/>
  <c r="V205" i="4" s="1"/>
  <c r="V206" i="4" s="1"/>
  <c r="V207" i="4" s="1"/>
  <c r="V208" i="4" s="1"/>
  <c r="V209" i="4" s="1"/>
  <c r="V210" i="4" s="1"/>
  <c r="V211" i="4" s="1"/>
  <c r="V212" i="4" s="1"/>
  <c r="V213" i="4" s="1"/>
  <c r="V214" i="4" s="1"/>
  <c r="V215" i="4" s="1"/>
  <c r="V216" i="4" s="1"/>
  <c r="V217" i="4" s="1"/>
  <c r="V218" i="4" s="1"/>
  <c r="V219" i="4" s="1"/>
  <c r="V220" i="4" s="1"/>
  <c r="V221" i="4" s="1"/>
  <c r="V222" i="4" s="1"/>
  <c r="V223" i="4" s="1"/>
  <c r="V224" i="4" s="1"/>
  <c r="V225" i="4" s="1"/>
  <c r="V226" i="4" s="1"/>
  <c r="V227" i="4" s="1"/>
  <c r="V228" i="4" s="1"/>
  <c r="V229" i="4" s="1"/>
  <c r="V230" i="4" s="1"/>
  <c r="V231" i="4" s="1"/>
  <c r="V232" i="4" s="1"/>
  <c r="V233" i="4" s="1"/>
  <c r="V234" i="4" s="1"/>
  <c r="V235" i="4" s="1"/>
  <c r="V236" i="4" s="1"/>
  <c r="V237" i="4" s="1"/>
  <c r="V238" i="4" s="1"/>
  <c r="V239" i="4" s="1"/>
  <c r="V240" i="4" s="1"/>
  <c r="V241" i="4" s="1"/>
  <c r="V242" i="4" s="1"/>
  <c r="V243" i="4" s="1"/>
  <c r="V244" i="4" s="1"/>
  <c r="V245" i="4" s="1"/>
  <c r="V246" i="4" s="1"/>
  <c r="V247" i="4" s="1"/>
  <c r="V248" i="4" s="1"/>
  <c r="V249" i="4" s="1"/>
  <c r="V250" i="4" s="1"/>
  <c r="V251" i="4" s="1"/>
  <c r="V252" i="4" s="1"/>
  <c r="V253" i="4" s="1"/>
  <c r="V254" i="4" s="1"/>
  <c r="V255" i="4" s="1"/>
  <c r="V256" i="4" s="1"/>
  <c r="V257" i="4" s="1"/>
  <c r="V258" i="4" s="1"/>
  <c r="V259" i="4" s="1"/>
  <c r="V260" i="4" s="1"/>
  <c r="V261" i="4" s="1"/>
  <c r="V262" i="4" s="1"/>
  <c r="V263" i="4" s="1"/>
  <c r="V264" i="4" s="1"/>
  <c r="V265" i="4" s="1"/>
  <c r="V266" i="4" s="1"/>
  <c r="U4" i="4"/>
  <c r="D47" i="3"/>
  <c r="D46" i="3"/>
  <c r="D56" i="3" s="1"/>
  <c r="C46" i="3"/>
  <c r="C56" i="3" s="1"/>
  <c r="C58" i="3" s="1"/>
  <c r="C60" i="3" s="1"/>
  <c r="C62" i="3" s="1"/>
  <c r="D45" i="3"/>
  <c r="C45" i="3"/>
  <c r="D44" i="3"/>
  <c r="C44" i="3"/>
  <c r="C49" i="3" s="1"/>
  <c r="D17" i="3"/>
  <c r="F17" i="3" s="1"/>
  <c r="C17" i="3"/>
  <c r="E17" i="3" s="1"/>
  <c r="G38" i="2"/>
  <c r="F38" i="2"/>
  <c r="D33" i="2"/>
  <c r="C33" i="2"/>
  <c r="B42" i="2"/>
  <c r="D32" i="2"/>
  <c r="C32" i="2"/>
  <c r="B32" i="2"/>
  <c r="B41" i="2" s="1"/>
  <c r="D31" i="2"/>
  <c r="C31" i="2"/>
  <c r="B31" i="2"/>
  <c r="B40" i="2" s="1"/>
  <c r="D30" i="2"/>
  <c r="C30" i="2"/>
  <c r="B30" i="2"/>
  <c r="B39" i="2" s="1"/>
  <c r="H23" i="2"/>
  <c r="H22" i="2"/>
  <c r="H21" i="2"/>
  <c r="Q20" i="2"/>
  <c r="H20" i="2"/>
  <c r="Q19" i="2"/>
  <c r="Q18" i="2"/>
  <c r="R17" i="2"/>
  <c r="H11" i="2"/>
  <c r="T10" i="2"/>
  <c r="S10" i="2" s="1"/>
  <c r="R10" i="2"/>
  <c r="T8" i="2"/>
  <c r="S8" i="2" s="1"/>
  <c r="R8" i="2"/>
  <c r="T7" i="2"/>
  <c r="S7" i="2" s="1"/>
  <c r="R7" i="2"/>
  <c r="AK125" i="4" l="1"/>
  <c r="AK79" i="4"/>
  <c r="AK6" i="4"/>
  <c r="AK78" i="4"/>
  <c r="AK99" i="4"/>
  <c r="AK246" i="4"/>
  <c r="AK55" i="4"/>
  <c r="AK72" i="4"/>
  <c r="AK80" i="4"/>
  <c r="AK7" i="4"/>
  <c r="AK104" i="4"/>
  <c r="AB160" i="4"/>
  <c r="AD160" i="4" s="1"/>
  <c r="AE160" i="4" s="1"/>
  <c r="AF160" i="4" s="1"/>
  <c r="AG160" i="4" s="1"/>
  <c r="AP160" i="4" s="1"/>
  <c r="AO160" i="4" s="1"/>
  <c r="AK247" i="4"/>
  <c r="AK197" i="4"/>
  <c r="AK244" i="4"/>
  <c r="AK9" i="4"/>
  <c r="AK69" i="4"/>
  <c r="AK175" i="4"/>
  <c r="AB35" i="4"/>
  <c r="AC35" i="4" s="1"/>
  <c r="AK76" i="4"/>
  <c r="AA141" i="4"/>
  <c r="AN141" i="4" s="1"/>
  <c r="S1" i="2"/>
  <c r="I11" i="2"/>
  <c r="AB95" i="4"/>
  <c r="AC95" i="4" s="1"/>
  <c r="AA95" i="4"/>
  <c r="AN95" i="4" s="1"/>
  <c r="AA66" i="4"/>
  <c r="AN66" i="4" s="1"/>
  <c r="AB66" i="4"/>
  <c r="AC66" i="4" s="1"/>
  <c r="AK5" i="4"/>
  <c r="AK77" i="4"/>
  <c r="AA93" i="4"/>
  <c r="AN93" i="4" s="1"/>
  <c r="AK103" i="4"/>
  <c r="AK106" i="4"/>
  <c r="AB140" i="4"/>
  <c r="AC140" i="4" s="1"/>
  <c r="AM140" i="4" s="1"/>
  <c r="AA245" i="4"/>
  <c r="AN245" i="4" s="1"/>
  <c r="AK151" i="4"/>
  <c r="AK176" i="4"/>
  <c r="AK216" i="4"/>
  <c r="AK225" i="4"/>
  <c r="AK248" i="4"/>
  <c r="AA84" i="4"/>
  <c r="AN84" i="4" s="1"/>
  <c r="AK29" i="4"/>
  <c r="AK153" i="4"/>
  <c r="AK250" i="4"/>
  <c r="AK81" i="4"/>
  <c r="AK127" i="4"/>
  <c r="AA223" i="4"/>
  <c r="AN223" i="4" s="1"/>
  <c r="AB48" i="4"/>
  <c r="AC48" i="4" s="1"/>
  <c r="AK31" i="4"/>
  <c r="AK75" i="4"/>
  <c r="AB120" i="4"/>
  <c r="AC120" i="4" s="1"/>
  <c r="AM120" i="4" s="1"/>
  <c r="AK129" i="4"/>
  <c r="AA198" i="4"/>
  <c r="AN198" i="4" s="1"/>
  <c r="AB198" i="4"/>
  <c r="AC198" i="4" s="1"/>
  <c r="AB124" i="4"/>
  <c r="AC124" i="4" s="1"/>
  <c r="AA124" i="4"/>
  <c r="AN124" i="4" s="1"/>
  <c r="AA78" i="4"/>
  <c r="AN78" i="4" s="1"/>
  <c r="AB78" i="4"/>
  <c r="AC78" i="4" s="1"/>
  <c r="AB98" i="4"/>
  <c r="AC98" i="4" s="1"/>
  <c r="AA98" i="4"/>
  <c r="AN98" i="4" s="1"/>
  <c r="AB114" i="4"/>
  <c r="AC114" i="4" s="1"/>
  <c r="AA114" i="4"/>
  <c r="AN114" i="4" s="1"/>
  <c r="AA139" i="4"/>
  <c r="AN139" i="4" s="1"/>
  <c r="AB139" i="4"/>
  <c r="AD139" i="4" s="1"/>
  <c r="AE139" i="4" s="1"/>
  <c r="AF139" i="4" s="1"/>
  <c r="AG139" i="4" s="1"/>
  <c r="AP139" i="4" s="1"/>
  <c r="AO139" i="4" s="1"/>
  <c r="AB187" i="4"/>
  <c r="AC187" i="4" s="1"/>
  <c r="AM187" i="4" s="1"/>
  <c r="AA187" i="4"/>
  <c r="AN187" i="4" s="1"/>
  <c r="AB238" i="4"/>
  <c r="AC238" i="4" s="1"/>
  <c r="AA238" i="4"/>
  <c r="AN238" i="4" s="1"/>
  <c r="AB62" i="4"/>
  <c r="AC62" i="4" s="1"/>
  <c r="AA62" i="4"/>
  <c r="AN62" i="4" s="1"/>
  <c r="AA63" i="4"/>
  <c r="AN63" i="4" s="1"/>
  <c r="AB63" i="4"/>
  <c r="AD63" i="4" s="1"/>
  <c r="AE63" i="4" s="1"/>
  <c r="AF63" i="4" s="1"/>
  <c r="AG63" i="4" s="1"/>
  <c r="AP63" i="4" s="1"/>
  <c r="AO63" i="4" s="1"/>
  <c r="AB110" i="4"/>
  <c r="AC110" i="4" s="1"/>
  <c r="AA110" i="4"/>
  <c r="AN110" i="4" s="1"/>
  <c r="AA210" i="4"/>
  <c r="AN210" i="4" s="1"/>
  <c r="AB210" i="4"/>
  <c r="AA14" i="4"/>
  <c r="AN14" i="4" s="1"/>
  <c r="AB14" i="4"/>
  <c r="AD14" i="4" s="1"/>
  <c r="AE14" i="4" s="1"/>
  <c r="AF14" i="4" s="1"/>
  <c r="AG14" i="4" s="1"/>
  <c r="AP14" i="4" s="1"/>
  <c r="AO14" i="4" s="1"/>
  <c r="AB149" i="4"/>
  <c r="AC149" i="4" s="1"/>
  <c r="AA149" i="4"/>
  <c r="AN149" i="4" s="1"/>
  <c r="AB53" i="4"/>
  <c r="AC53" i="4" s="1"/>
  <c r="AA53" i="4"/>
  <c r="AN53" i="4" s="1"/>
  <c r="AB86" i="4"/>
  <c r="AC86" i="4" s="1"/>
  <c r="AA86" i="4"/>
  <c r="AN86" i="4" s="1"/>
  <c r="AA146" i="4"/>
  <c r="AN146" i="4" s="1"/>
  <c r="AB146" i="4"/>
  <c r="AC146" i="4" s="1"/>
  <c r="AB161" i="4"/>
  <c r="AC161" i="4" s="1"/>
  <c r="AA161" i="4"/>
  <c r="AN161" i="4" s="1"/>
  <c r="AA186" i="4"/>
  <c r="AN186" i="4" s="1"/>
  <c r="AB186" i="4"/>
  <c r="AC186" i="4" s="1"/>
  <c r="AA222" i="4"/>
  <c r="AN222" i="4" s="1"/>
  <c r="AB222" i="4"/>
  <c r="AC222" i="4" s="1"/>
  <c r="AA90" i="4"/>
  <c r="AN90" i="4" s="1"/>
  <c r="AB90" i="4"/>
  <c r="AC90" i="4" s="1"/>
  <c r="AB6" i="4"/>
  <c r="AC6" i="4" s="1"/>
  <c r="AA6" i="4"/>
  <c r="AN6" i="4" s="1"/>
  <c r="AA94" i="4"/>
  <c r="AN94" i="4" s="1"/>
  <c r="AB94" i="4"/>
  <c r="AC94" i="4" s="1"/>
  <c r="AB246" i="4"/>
  <c r="AC246" i="4" s="1"/>
  <c r="AA246" i="4"/>
  <c r="AN246" i="4" s="1"/>
  <c r="AA259" i="4"/>
  <c r="AN259" i="4" s="1"/>
  <c r="AB259" i="4"/>
  <c r="AC259" i="4" s="1"/>
  <c r="AA111" i="4"/>
  <c r="AN111" i="4" s="1"/>
  <c r="AB111" i="4"/>
  <c r="AD111" i="4" s="1"/>
  <c r="AE111" i="4" s="1"/>
  <c r="AF111" i="4" s="1"/>
  <c r="AG111" i="4" s="1"/>
  <c r="AP111" i="4" s="1"/>
  <c r="AO111" i="4" s="1"/>
  <c r="AB138" i="4"/>
  <c r="AA138" i="4"/>
  <c r="AN138" i="4" s="1"/>
  <c r="AB168" i="4"/>
  <c r="AC168" i="4" s="1"/>
  <c r="AA168" i="4"/>
  <c r="AN168" i="4" s="1"/>
  <c r="AB213" i="4"/>
  <c r="AC213" i="4" s="1"/>
  <c r="AA213" i="4"/>
  <c r="AN213" i="4" s="1"/>
  <c r="K47" i="5"/>
  <c r="AB56" i="4"/>
  <c r="AC56" i="4" s="1"/>
  <c r="AM56" i="4" s="1"/>
  <c r="AI56" i="4" s="1"/>
  <c r="AC137" i="4"/>
  <c r="L44" i="5"/>
  <c r="AA106" i="4"/>
  <c r="AN106" i="4" s="1"/>
  <c r="AA197" i="4"/>
  <c r="AN197" i="4" s="1"/>
  <c r="AB216" i="4"/>
  <c r="AC216" i="4" s="1"/>
  <c r="AM216" i="4" s="1"/>
  <c r="AI216" i="4" s="1"/>
  <c r="AB251" i="4"/>
  <c r="AC251" i="4" s="1"/>
  <c r="AM251" i="4" s="1"/>
  <c r="N28" i="5"/>
  <c r="A45" i="5"/>
  <c r="AA11" i="4"/>
  <c r="AN11" i="4" s="1"/>
  <c r="AA27" i="4"/>
  <c r="AN27" i="4" s="1"/>
  <c r="AK68" i="4"/>
  <c r="AK74" i="4"/>
  <c r="AK84" i="4"/>
  <c r="AK130" i="4"/>
  <c r="AA135" i="4"/>
  <c r="AN135" i="4" s="1"/>
  <c r="AA159" i="4"/>
  <c r="AN159" i="4" s="1"/>
  <c r="AA175" i="4"/>
  <c r="AN175" i="4" s="1"/>
  <c r="AA193" i="4"/>
  <c r="AN193" i="4" s="1"/>
  <c r="AK199" i="4"/>
  <c r="AB211" i="4"/>
  <c r="AD211" i="4" s="1"/>
  <c r="AE211" i="4" s="1"/>
  <c r="AF211" i="4" s="1"/>
  <c r="AG211" i="4" s="1"/>
  <c r="AP211" i="4" s="1"/>
  <c r="AO211" i="4" s="1"/>
  <c r="AB217" i="4"/>
  <c r="AC217" i="4" s="1"/>
  <c r="AM217" i="4" s="1"/>
  <c r="AI217" i="4" s="1"/>
  <c r="AA235" i="4"/>
  <c r="AN235" i="4" s="1"/>
  <c r="AA107" i="4"/>
  <c r="AN107" i="4" s="1"/>
  <c r="AB181" i="4"/>
  <c r="AB206" i="4"/>
  <c r="AA212" i="4"/>
  <c r="AN212" i="4" s="1"/>
  <c r="AB70" i="4"/>
  <c r="AC70" i="4" s="1"/>
  <c r="AM70" i="4" s="1"/>
  <c r="AI70" i="4" s="1"/>
  <c r="AA147" i="4"/>
  <c r="AN147" i="4" s="1"/>
  <c r="AB174" i="4"/>
  <c r="AC174" i="4" s="1"/>
  <c r="AM174" i="4" s="1"/>
  <c r="AI174" i="4" s="1"/>
  <c r="AK174" i="4" s="1"/>
  <c r="AB179" i="4"/>
  <c r="AC179" i="4" s="1"/>
  <c r="AM179" i="4" s="1"/>
  <c r="AB192" i="4"/>
  <c r="AC192" i="4" s="1"/>
  <c r="AM192" i="4" s="1"/>
  <c r="AI192" i="4" s="1"/>
  <c r="AB204" i="4"/>
  <c r="AC204" i="4" s="1"/>
  <c r="AM204" i="4" s="1"/>
  <c r="AI204" i="4" s="1"/>
  <c r="AK204" i="4" s="1"/>
  <c r="AB243" i="4"/>
  <c r="AC243" i="4" s="1"/>
  <c r="AM243" i="4" s="1"/>
  <c r="AI243" i="4" s="1"/>
  <c r="AA244" i="4"/>
  <c r="AN244" i="4" s="1"/>
  <c r="E22" i="5"/>
  <c r="AB8" i="4"/>
  <c r="AC8" i="4" s="1"/>
  <c r="AM8" i="4" s="1"/>
  <c r="AI8" i="4" s="1"/>
  <c r="AA219" i="4"/>
  <c r="AN219" i="4" s="1"/>
  <c r="L45" i="5"/>
  <c r="AA43" i="4"/>
  <c r="AN43" i="4" s="1"/>
  <c r="AK73" i="4"/>
  <c r="AB91" i="4"/>
  <c r="AB96" i="4"/>
  <c r="AC96" i="4" s="1"/>
  <c r="AM96" i="4" s="1"/>
  <c r="AB113" i="4"/>
  <c r="AC113" i="4" s="1"/>
  <c r="AA256" i="4"/>
  <c r="AN256" i="4" s="1"/>
  <c r="AB154" i="4"/>
  <c r="AC154" i="4" s="1"/>
  <c r="AM154" i="4" s="1"/>
  <c r="AI154" i="4" s="1"/>
  <c r="AK154" i="4" s="1"/>
  <c r="AK10" i="4"/>
  <c r="AK30" i="4"/>
  <c r="AK33" i="4"/>
  <c r="AK70" i="4"/>
  <c r="AM93" i="4"/>
  <c r="AI93" i="4" s="1"/>
  <c r="AK93" i="4" s="1"/>
  <c r="AM99" i="4"/>
  <c r="AI99" i="4" s="1"/>
  <c r="AK101" i="4"/>
  <c r="AK128" i="4"/>
  <c r="AK152" i="4"/>
  <c r="AB173" i="4"/>
  <c r="AC173" i="4" s="1"/>
  <c r="AM173" i="4" s="1"/>
  <c r="AI173" i="4" s="1"/>
  <c r="AK173" i="4" s="1"/>
  <c r="AA191" i="4"/>
  <c r="AN191" i="4" s="1"/>
  <c r="AK221" i="4"/>
  <c r="AK222" i="4"/>
  <c r="AK224" i="4"/>
  <c r="AK249" i="4"/>
  <c r="AK265" i="4"/>
  <c r="D49" i="3"/>
  <c r="D58" i="3"/>
  <c r="D60" i="3" s="1"/>
  <c r="D62" i="3" s="1"/>
  <c r="D31" i="3"/>
  <c r="F31" i="3" s="1"/>
  <c r="D32" i="3"/>
  <c r="F32" i="3" s="1"/>
  <c r="C31" i="3"/>
  <c r="E31" i="3" s="1"/>
  <c r="C32" i="3"/>
  <c r="E32" i="3" s="1"/>
  <c r="AK192" i="4"/>
  <c r="AK196" i="4"/>
  <c r="AK144" i="4"/>
  <c r="AK161" i="4"/>
  <c r="AK241" i="4"/>
  <c r="AK178" i="4"/>
  <c r="AK11" i="4"/>
  <c r="AK191" i="4"/>
  <c r="AK32" i="4"/>
  <c r="AK35" i="4"/>
  <c r="AK71" i="4"/>
  <c r="AK100" i="4"/>
  <c r="AK200" i="4"/>
  <c r="AK243" i="4"/>
  <c r="AK126" i="4"/>
  <c r="AK56" i="4"/>
  <c r="AK223" i="4"/>
  <c r="AI140" i="4"/>
  <c r="AK140" i="4" s="1"/>
  <c r="AK8" i="4"/>
  <c r="AI120" i="4"/>
  <c r="AK120" i="4" s="1"/>
  <c r="AK219" i="4"/>
  <c r="F46" i="3"/>
  <c r="F56" i="3" s="1"/>
  <c r="E46" i="3"/>
  <c r="E56" i="3" s="1"/>
  <c r="F44" i="3"/>
  <c r="E44" i="3"/>
  <c r="F47" i="3"/>
  <c r="E47" i="3"/>
  <c r="F45" i="3"/>
  <c r="E45" i="3"/>
  <c r="S17" i="2"/>
  <c r="E30" i="2" s="1"/>
  <c r="R19" i="2"/>
  <c r="E32" i="2" s="1"/>
  <c r="F32" i="2" s="1"/>
  <c r="H32" i="2" s="1"/>
  <c r="I32" i="2" s="1"/>
  <c r="R20" i="2"/>
  <c r="E33" i="2" s="1"/>
  <c r="F33" i="2" s="1"/>
  <c r="H33" i="2" s="1"/>
  <c r="I33" i="2" s="1"/>
  <c r="AB15" i="4"/>
  <c r="AA15" i="4"/>
  <c r="AN15" i="4" s="1"/>
  <c r="AM35" i="4"/>
  <c r="AI35" i="4" s="1"/>
  <c r="AB82" i="4"/>
  <c r="AC82" i="4" s="1"/>
  <c r="AA82" i="4"/>
  <c r="AN82" i="4" s="1"/>
  <c r="AB81" i="4"/>
  <c r="AC81" i="4" s="1"/>
  <c r="AA81" i="4"/>
  <c r="AN81" i="4" s="1"/>
  <c r="AA7" i="4"/>
  <c r="AN7" i="4" s="1"/>
  <c r="AB7" i="4"/>
  <c r="AC7" i="4" s="1"/>
  <c r="AB12" i="4"/>
  <c r="AC12" i="4" s="1"/>
  <c r="AA12" i="4"/>
  <c r="AN12" i="4" s="1"/>
  <c r="AA33" i="4"/>
  <c r="AN33" i="4" s="1"/>
  <c r="AB33" i="4"/>
  <c r="AC33" i="4" s="1"/>
  <c r="AB36" i="4"/>
  <c r="AC36" i="4" s="1"/>
  <c r="AA36" i="4"/>
  <c r="AN36" i="4" s="1"/>
  <c r="AB41" i="4"/>
  <c r="AA41" i="4"/>
  <c r="AN41" i="4" s="1"/>
  <c r="AD43" i="4"/>
  <c r="AE43" i="4" s="1"/>
  <c r="AF43" i="4" s="1"/>
  <c r="AG43" i="4" s="1"/>
  <c r="AP43" i="4" s="1"/>
  <c r="AO43" i="4" s="1"/>
  <c r="AC43" i="4"/>
  <c r="AM43" i="4" s="1"/>
  <c r="AM66" i="4"/>
  <c r="AA72" i="4"/>
  <c r="AN72" i="4" s="1"/>
  <c r="AB72" i="4"/>
  <c r="AC72" i="4" s="1"/>
  <c r="AM72" i="4" s="1"/>
  <c r="AI72" i="4" s="1"/>
  <c r="AB77" i="4"/>
  <c r="AC77" i="4" s="1"/>
  <c r="AA77" i="4"/>
  <c r="AN77" i="4" s="1"/>
  <c r="AB89" i="4"/>
  <c r="AA89" i="4"/>
  <c r="AN89" i="4" s="1"/>
  <c r="AD19" i="4"/>
  <c r="AE19" i="4" s="1"/>
  <c r="AF19" i="4" s="1"/>
  <c r="AG19" i="4" s="1"/>
  <c r="AP19" i="4" s="1"/>
  <c r="AO19" i="4" s="1"/>
  <c r="AC19" i="4"/>
  <c r="AB23" i="4"/>
  <c r="AC23" i="4" s="1"/>
  <c r="AA23" i="4"/>
  <c r="AN23" i="4" s="1"/>
  <c r="AD38" i="4"/>
  <c r="AE38" i="4" s="1"/>
  <c r="AF38" i="4" s="1"/>
  <c r="AG38" i="4" s="1"/>
  <c r="AP38" i="4" s="1"/>
  <c r="AO38" i="4" s="1"/>
  <c r="AC38" i="4"/>
  <c r="AB68" i="4"/>
  <c r="AC68" i="4" s="1"/>
  <c r="AA68" i="4"/>
  <c r="AN68" i="4" s="1"/>
  <c r="AB20" i="4"/>
  <c r="AA20" i="4"/>
  <c r="AN20" i="4" s="1"/>
  <c r="AB44" i="4"/>
  <c r="AA44" i="4"/>
  <c r="AN44" i="4" s="1"/>
  <c r="AM48" i="4"/>
  <c r="AI48" i="4" s="1"/>
  <c r="AK48" i="4" s="1"/>
  <c r="AB57" i="4"/>
  <c r="AC57" i="4" s="1"/>
  <c r="AA57" i="4"/>
  <c r="AN57" i="4" s="1"/>
  <c r="AB74" i="4"/>
  <c r="AC74" i="4" s="1"/>
  <c r="AA74" i="4"/>
  <c r="AN74" i="4" s="1"/>
  <c r="AB17" i="4"/>
  <c r="AA17" i="4"/>
  <c r="AN17" i="4" s="1"/>
  <c r="AB28" i="4"/>
  <c r="AC28" i="4" s="1"/>
  <c r="AA28" i="4"/>
  <c r="AN28" i="4" s="1"/>
  <c r="AB4" i="4"/>
  <c r="AA4" i="4"/>
  <c r="AN4" i="4" s="1"/>
  <c r="AB52" i="4"/>
  <c r="AC52" i="4" s="1"/>
  <c r="AA52" i="4"/>
  <c r="AN52" i="4" s="1"/>
  <c r="AA121" i="4"/>
  <c r="AN121" i="4" s="1"/>
  <c r="AB121" i="4"/>
  <c r="AC121" i="4" s="1"/>
  <c r="AB61" i="4"/>
  <c r="AA61" i="4"/>
  <c r="AN61" i="4" s="1"/>
  <c r="AB55" i="4"/>
  <c r="AC55" i="4" s="1"/>
  <c r="AA55" i="4"/>
  <c r="AN55" i="4" s="1"/>
  <c r="AB73" i="4"/>
  <c r="AC73" i="4" s="1"/>
  <c r="AA73" i="4"/>
  <c r="AN73" i="4" s="1"/>
  <c r="AA133" i="4"/>
  <c r="AN133" i="4" s="1"/>
  <c r="AB133" i="4"/>
  <c r="AB42" i="4"/>
  <c r="AA42" i="4"/>
  <c r="AN42" i="4" s="1"/>
  <c r="AB142" i="4"/>
  <c r="AA142" i="4"/>
  <c r="AN142" i="4" s="1"/>
  <c r="AB18" i="4"/>
  <c r="AA18" i="4"/>
  <c r="AN18" i="4" s="1"/>
  <c r="AB50" i="4"/>
  <c r="AC50" i="4" s="1"/>
  <c r="AA50" i="4"/>
  <c r="AN50" i="4" s="1"/>
  <c r="AM113" i="4"/>
  <c r="D14" i="5"/>
  <c r="E13" i="5"/>
  <c r="AK62" i="4"/>
  <c r="AI96" i="4"/>
  <c r="AK96" i="4" s="1"/>
  <c r="AC111" i="4"/>
  <c r="AM111" i="4" s="1"/>
  <c r="AI111" i="4" s="1"/>
  <c r="AK111" i="4" s="1"/>
  <c r="AC141" i="4"/>
  <c r="AM141" i="4" s="1"/>
  <c r="AI141" i="4" s="1"/>
  <c r="AK141" i="4" s="1"/>
  <c r="AB22" i="4"/>
  <c r="AA19" i="4"/>
  <c r="AN19" i="4" s="1"/>
  <c r="AA25" i="4"/>
  <c r="AN25" i="4" s="1"/>
  <c r="AA38" i="4"/>
  <c r="AN38" i="4" s="1"/>
  <c r="AA49" i="4"/>
  <c r="AN49" i="4" s="1"/>
  <c r="AA51" i="4"/>
  <c r="AN51" i="4" s="1"/>
  <c r="AA54" i="4"/>
  <c r="AN54" i="4" s="1"/>
  <c r="AB79" i="4"/>
  <c r="AC79" i="4" s="1"/>
  <c r="AA79" i="4"/>
  <c r="AN79" i="4" s="1"/>
  <c r="R18" i="2"/>
  <c r="E31" i="2" s="1"/>
  <c r="AA58" i="4"/>
  <c r="AN58" i="4" s="1"/>
  <c r="AB58" i="4"/>
  <c r="AC58" i="4" s="1"/>
  <c r="AB64" i="4"/>
  <c r="AA80" i="4"/>
  <c r="AN80" i="4" s="1"/>
  <c r="AB80" i="4"/>
  <c r="AC80" i="4" s="1"/>
  <c r="AK82" i="4"/>
  <c r="AM90" i="4"/>
  <c r="AI90" i="4" s="1"/>
  <c r="AK90" i="4" s="1"/>
  <c r="AA100" i="4"/>
  <c r="AN100" i="4" s="1"/>
  <c r="AA119" i="4"/>
  <c r="AN119" i="4" s="1"/>
  <c r="AB119" i="4"/>
  <c r="AC119" i="4" s="1"/>
  <c r="AC182" i="4"/>
  <c r="AD182" i="4"/>
  <c r="AE182" i="4" s="1"/>
  <c r="AF182" i="4" s="1"/>
  <c r="AG182" i="4" s="1"/>
  <c r="AP182" i="4" s="1"/>
  <c r="AO182" i="4" s="1"/>
  <c r="AB31" i="4"/>
  <c r="AC31" i="4" s="1"/>
  <c r="AA31" i="4"/>
  <c r="AN31" i="4" s="1"/>
  <c r="AA132" i="4"/>
  <c r="AN132" i="4" s="1"/>
  <c r="AB132" i="4"/>
  <c r="AC132" i="4" s="1"/>
  <c r="AA9" i="4"/>
  <c r="AN9" i="4" s="1"/>
  <c r="AC14" i="4"/>
  <c r="AM14" i="4" s="1"/>
  <c r="AI14" i="4" s="1"/>
  <c r="AK14" i="4" s="1"/>
  <c r="AC37" i="4"/>
  <c r="AB171" i="4"/>
  <c r="AC171" i="4" s="1"/>
  <c r="AA171" i="4"/>
  <c r="AN171" i="4" s="1"/>
  <c r="AA34" i="4"/>
  <c r="AN34" i="4" s="1"/>
  <c r="AB34" i="4"/>
  <c r="AC34" i="4" s="1"/>
  <c r="AB71" i="4"/>
  <c r="AC71" i="4" s="1"/>
  <c r="AM71" i="4" s="1"/>
  <c r="AI71" i="4" s="1"/>
  <c r="AD113" i="4"/>
  <c r="AE113" i="4" s="1"/>
  <c r="AF113" i="4" s="1"/>
  <c r="AG113" i="4" s="1"/>
  <c r="AP113" i="4" s="1"/>
  <c r="AO113" i="4" s="1"/>
  <c r="AB40" i="4"/>
  <c r="AA85" i="4"/>
  <c r="AN85" i="4" s="1"/>
  <c r="AA126" i="4"/>
  <c r="AN126" i="4" s="1"/>
  <c r="AB170" i="4"/>
  <c r="AC170" i="4" s="1"/>
  <c r="AA170" i="4"/>
  <c r="AN170" i="4" s="1"/>
  <c r="AB16" i="4"/>
  <c r="AA30" i="4"/>
  <c r="AN30" i="4" s="1"/>
  <c r="AB32" i="4"/>
  <c r="AC32" i="4" s="1"/>
  <c r="AM32" i="4" s="1"/>
  <c r="AI32" i="4" s="1"/>
  <c r="AB46" i="4"/>
  <c r="AA59" i="4"/>
  <c r="AN59" i="4" s="1"/>
  <c r="AB65" i="4"/>
  <c r="AA87" i="4"/>
  <c r="AN87" i="4" s="1"/>
  <c r="AB116" i="4"/>
  <c r="AA116" i="4"/>
  <c r="AN116" i="4" s="1"/>
  <c r="AB129" i="4"/>
  <c r="AC129" i="4" s="1"/>
  <c r="AA129" i="4"/>
  <c r="AN129" i="4" s="1"/>
  <c r="AB130" i="4"/>
  <c r="AC130" i="4" s="1"/>
  <c r="AA130" i="4"/>
  <c r="AN130" i="4" s="1"/>
  <c r="AA134" i="4"/>
  <c r="AN134" i="4" s="1"/>
  <c r="AB134" i="4"/>
  <c r="AC160" i="4"/>
  <c r="AM160" i="4" s="1"/>
  <c r="AI160" i="4" s="1"/>
  <c r="AK160" i="4" s="1"/>
  <c r="AA188" i="4"/>
  <c r="AN188" i="4" s="1"/>
  <c r="AB188" i="4"/>
  <c r="AM213" i="4"/>
  <c r="AI213" i="4" s="1"/>
  <c r="AK213" i="4" s="1"/>
  <c r="AB39" i="4"/>
  <c r="AA39" i="4"/>
  <c r="AN39" i="4" s="1"/>
  <c r="AB69" i="4"/>
  <c r="AC69" i="4" s="1"/>
  <c r="AA69" i="4"/>
  <c r="AN69" i="4" s="1"/>
  <c r="AD66" i="4"/>
  <c r="AE66" i="4" s="1"/>
  <c r="AF66" i="4" s="1"/>
  <c r="AG66" i="4" s="1"/>
  <c r="AP66" i="4" s="1"/>
  <c r="AO66" i="4" s="1"/>
  <c r="AA67" i="4"/>
  <c r="AN67" i="4" s="1"/>
  <c r="AB189" i="4"/>
  <c r="AA189" i="4"/>
  <c r="AN189" i="4" s="1"/>
  <c r="AA75" i="4"/>
  <c r="AN75" i="4" s="1"/>
  <c r="AB10" i="4"/>
  <c r="AC10" i="4" s="1"/>
  <c r="AA10" i="4"/>
  <c r="AN10" i="4" s="1"/>
  <c r="AB47" i="4"/>
  <c r="AC47" i="4" s="1"/>
  <c r="AA47" i="4"/>
  <c r="AN47" i="4" s="1"/>
  <c r="AB76" i="4"/>
  <c r="AC76" i="4" s="1"/>
  <c r="AA76" i="4"/>
  <c r="AN76" i="4" s="1"/>
  <c r="AA83" i="4"/>
  <c r="AN83" i="4" s="1"/>
  <c r="AB103" i="4"/>
  <c r="AC103" i="4" s="1"/>
  <c r="AM103" i="4" s="1"/>
  <c r="AI103" i="4" s="1"/>
  <c r="AB108" i="4"/>
  <c r="AC108" i="4" s="1"/>
  <c r="AA108" i="4"/>
  <c r="AN108" i="4" s="1"/>
  <c r="AB109" i="4"/>
  <c r="AC109" i="4" s="1"/>
  <c r="AA109" i="4"/>
  <c r="AN109" i="4" s="1"/>
  <c r="AD115" i="4"/>
  <c r="AE115" i="4" s="1"/>
  <c r="AF115" i="4" s="1"/>
  <c r="AG115" i="4" s="1"/>
  <c r="AP115" i="4" s="1"/>
  <c r="AO115" i="4" s="1"/>
  <c r="AC115" i="4"/>
  <c r="AA128" i="4"/>
  <c r="AN128" i="4" s="1"/>
  <c r="AB128" i="4"/>
  <c r="AC128" i="4" s="1"/>
  <c r="AA143" i="4"/>
  <c r="AN143" i="4" s="1"/>
  <c r="AB26" i="4"/>
  <c r="AC26" i="4" s="1"/>
  <c r="AA26" i="4"/>
  <c r="AN26" i="4" s="1"/>
  <c r="AB195" i="4"/>
  <c r="AC195" i="4" s="1"/>
  <c r="AA195" i="4"/>
  <c r="AN195" i="4" s="1"/>
  <c r="AA60" i="4"/>
  <c r="AN60" i="4" s="1"/>
  <c r="AA105" i="4"/>
  <c r="AN105" i="4" s="1"/>
  <c r="AB105" i="4"/>
  <c r="AC105" i="4" s="1"/>
  <c r="AB118" i="4"/>
  <c r="AB24" i="4"/>
  <c r="AC24" i="4" s="1"/>
  <c r="AM24" i="4" s="1"/>
  <c r="AI24" i="4" s="1"/>
  <c r="AK24" i="4" s="1"/>
  <c r="AB92" i="4"/>
  <c r="AB88" i="4"/>
  <c r="AC88" i="4" s="1"/>
  <c r="AM88" i="4" s="1"/>
  <c r="AI88" i="4" s="1"/>
  <c r="AK88" i="4" s="1"/>
  <c r="AA97" i="4"/>
  <c r="AN97" i="4" s="1"/>
  <c r="AA115" i="4"/>
  <c r="AN115" i="4" s="1"/>
  <c r="AB169" i="4"/>
  <c r="AC169" i="4" s="1"/>
  <c r="AA169" i="4"/>
  <c r="AN169" i="4" s="1"/>
  <c r="AA5" i="4"/>
  <c r="AN5" i="4" s="1"/>
  <c r="AA29" i="4"/>
  <c r="AN29" i="4" s="1"/>
  <c r="AA37" i="4"/>
  <c r="AN37" i="4" s="1"/>
  <c r="AB13" i="4"/>
  <c r="AC13" i="4" s="1"/>
  <c r="AM13" i="4" s="1"/>
  <c r="AI13" i="4" s="1"/>
  <c r="AK13" i="4" s="1"/>
  <c r="AB21" i="4"/>
  <c r="AB45" i="4"/>
  <c r="AA101" i="4"/>
  <c r="AN101" i="4" s="1"/>
  <c r="AA136" i="4"/>
  <c r="AN136" i="4" s="1"/>
  <c r="AA137" i="4"/>
  <c r="AN137" i="4" s="1"/>
  <c r="AA156" i="4"/>
  <c r="AN156" i="4" s="1"/>
  <c r="AB156" i="4"/>
  <c r="AI179" i="4"/>
  <c r="AK179" i="4" s="1"/>
  <c r="AA180" i="4"/>
  <c r="AN180" i="4" s="1"/>
  <c r="AB180" i="4"/>
  <c r="AD187" i="4"/>
  <c r="AE187" i="4" s="1"/>
  <c r="AF187" i="4" s="1"/>
  <c r="AG187" i="4" s="1"/>
  <c r="AP187" i="4" s="1"/>
  <c r="AO187" i="4" s="1"/>
  <c r="AA202" i="4"/>
  <c r="AN202" i="4" s="1"/>
  <c r="AC210" i="4"/>
  <c r="AM210" i="4" s="1"/>
  <c r="AD210" i="4"/>
  <c r="AE210" i="4" s="1"/>
  <c r="AF210" i="4" s="1"/>
  <c r="AG210" i="4" s="1"/>
  <c r="AP210" i="4" s="1"/>
  <c r="AO210" i="4" s="1"/>
  <c r="AB230" i="4"/>
  <c r="AC230" i="4" s="1"/>
  <c r="AA230" i="4"/>
  <c r="AN230" i="4" s="1"/>
  <c r="AB260" i="4"/>
  <c r="AC260" i="4" s="1"/>
  <c r="AA260" i="4"/>
  <c r="AN260" i="4" s="1"/>
  <c r="AB145" i="4"/>
  <c r="AC145" i="4" s="1"/>
  <c r="AM145" i="4" s="1"/>
  <c r="AI145" i="4" s="1"/>
  <c r="AK145" i="4" s="1"/>
  <c r="AA145" i="4"/>
  <c r="AN145" i="4" s="1"/>
  <c r="AB102" i="4"/>
  <c r="AC102" i="4" s="1"/>
  <c r="AA102" i="4"/>
  <c r="AN102" i="4" s="1"/>
  <c r="AB125" i="4"/>
  <c r="AC125" i="4" s="1"/>
  <c r="AA125" i="4"/>
  <c r="AN125" i="4" s="1"/>
  <c r="AA127" i="4"/>
  <c r="AN127" i="4" s="1"/>
  <c r="AC139" i="4"/>
  <c r="AM139" i="4" s="1"/>
  <c r="AI139" i="4" s="1"/>
  <c r="AK139" i="4" s="1"/>
  <c r="AM146" i="4"/>
  <c r="AI146" i="4" s="1"/>
  <c r="AK146" i="4" s="1"/>
  <c r="AA164" i="4"/>
  <c r="AN164" i="4" s="1"/>
  <c r="AB164" i="4"/>
  <c r="AA182" i="4"/>
  <c r="AN182" i="4" s="1"/>
  <c r="AA220" i="4"/>
  <c r="AN220" i="4" s="1"/>
  <c r="AB220" i="4"/>
  <c r="AC220" i="4" s="1"/>
  <c r="AM235" i="4"/>
  <c r="AI235" i="4" s="1"/>
  <c r="AK235" i="4" s="1"/>
  <c r="AB239" i="4"/>
  <c r="AC239" i="4" s="1"/>
  <c r="AM239" i="4" s="1"/>
  <c r="AI239" i="4" s="1"/>
  <c r="AK239" i="4" s="1"/>
  <c r="AB153" i="4"/>
  <c r="AC153" i="4" s="1"/>
  <c r="AA153" i="4"/>
  <c r="AN153" i="4" s="1"/>
  <c r="AD91" i="4"/>
  <c r="AE91" i="4" s="1"/>
  <c r="AF91" i="4" s="1"/>
  <c r="AG91" i="4" s="1"/>
  <c r="AP91" i="4" s="1"/>
  <c r="AO91" i="4" s="1"/>
  <c r="AC91" i="4"/>
  <c r="AM91" i="4" s="1"/>
  <c r="AA104" i="4"/>
  <c r="AN104" i="4" s="1"/>
  <c r="AB104" i="4"/>
  <c r="AC104" i="4" s="1"/>
  <c r="AB112" i="4"/>
  <c r="AB117" i="4"/>
  <c r="AA117" i="4"/>
  <c r="AN117" i="4" s="1"/>
  <c r="AA122" i="4"/>
  <c r="AN122" i="4" s="1"/>
  <c r="AB123" i="4"/>
  <c r="AC123" i="4" s="1"/>
  <c r="AA123" i="4"/>
  <c r="AN123" i="4" s="1"/>
  <c r="AA148" i="4"/>
  <c r="AN148" i="4" s="1"/>
  <c r="AB148" i="4"/>
  <c r="AC148" i="4" s="1"/>
  <c r="AB150" i="4"/>
  <c r="AC150" i="4" s="1"/>
  <c r="AA150" i="4"/>
  <c r="AN150" i="4" s="1"/>
  <c r="AA157" i="4"/>
  <c r="AN157" i="4" s="1"/>
  <c r="AB157" i="4"/>
  <c r="O5" i="5"/>
  <c r="P5" i="5" s="1"/>
  <c r="N6" i="5"/>
  <c r="AA144" i="4"/>
  <c r="AN144" i="4" s="1"/>
  <c r="AB144" i="4"/>
  <c r="AC144" i="4" s="1"/>
  <c r="AB131" i="4"/>
  <c r="AC131" i="4" s="1"/>
  <c r="AA131" i="4"/>
  <c r="AN131" i="4" s="1"/>
  <c r="AM202" i="4"/>
  <c r="AI202" i="4" s="1"/>
  <c r="AA231" i="4"/>
  <c r="AN231" i="4" s="1"/>
  <c r="AB231" i="4"/>
  <c r="AC231" i="4" s="1"/>
  <c r="AA261" i="4"/>
  <c r="AN261" i="4" s="1"/>
  <c r="AB261" i="4"/>
  <c r="AC261" i="4" s="1"/>
  <c r="AK124" i="4"/>
  <c r="AD159" i="4"/>
  <c r="AE159" i="4" s="1"/>
  <c r="AF159" i="4" s="1"/>
  <c r="AG159" i="4" s="1"/>
  <c r="AP159" i="4" s="1"/>
  <c r="AO159" i="4" s="1"/>
  <c r="AD183" i="4"/>
  <c r="AE183" i="4" s="1"/>
  <c r="AF183" i="4" s="1"/>
  <c r="AG183" i="4" s="1"/>
  <c r="AP183" i="4" s="1"/>
  <c r="AO183" i="4" s="1"/>
  <c r="AC183" i="4"/>
  <c r="AM183" i="4" s="1"/>
  <c r="AI251" i="4"/>
  <c r="AK251" i="4" s="1"/>
  <c r="AB162" i="4"/>
  <c r="AA162" i="4"/>
  <c r="AN162" i="4" s="1"/>
  <c r="AA166" i="4"/>
  <c r="AN166" i="4" s="1"/>
  <c r="AB166" i="4"/>
  <c r="AC166" i="4" s="1"/>
  <c r="AB194" i="4"/>
  <c r="AC194" i="4" s="1"/>
  <c r="AA194" i="4"/>
  <c r="AN194" i="4" s="1"/>
  <c r="AB201" i="4"/>
  <c r="AC201" i="4" s="1"/>
  <c r="AA201" i="4"/>
  <c r="AN201" i="4" s="1"/>
  <c r="AC212" i="4"/>
  <c r="AM212" i="4" s="1"/>
  <c r="AD212" i="4"/>
  <c r="AE212" i="4" s="1"/>
  <c r="AF212" i="4" s="1"/>
  <c r="AG212" i="4" s="1"/>
  <c r="AP212" i="4" s="1"/>
  <c r="AO212" i="4" s="1"/>
  <c r="AK217" i="4"/>
  <c r="AM245" i="4"/>
  <c r="AI245" i="4" s="1"/>
  <c r="AM246" i="4"/>
  <c r="AI246" i="4" s="1"/>
  <c r="AB177" i="4"/>
  <c r="AC177" i="4" s="1"/>
  <c r="AA177" i="4"/>
  <c r="AN177" i="4" s="1"/>
  <c r="AB205" i="4"/>
  <c r="AA205" i="4"/>
  <c r="AN205" i="4" s="1"/>
  <c r="AB226" i="4"/>
  <c r="AC226" i="4" s="1"/>
  <c r="AA226" i="4"/>
  <c r="AN226" i="4" s="1"/>
  <c r="AB155" i="4"/>
  <c r="AC155" i="4" s="1"/>
  <c r="AA155" i="4"/>
  <c r="AN155" i="4" s="1"/>
  <c r="AM193" i="4"/>
  <c r="AI193" i="4" s="1"/>
  <c r="AK193" i="4" s="1"/>
  <c r="AB196" i="4"/>
  <c r="AC196" i="4" s="1"/>
  <c r="AM196" i="4" s="1"/>
  <c r="AI196" i="4" s="1"/>
  <c r="AA224" i="4"/>
  <c r="AN224" i="4" s="1"/>
  <c r="AB224" i="4"/>
  <c r="AC224" i="4" s="1"/>
  <c r="AA151" i="4"/>
  <c r="AN151" i="4" s="1"/>
  <c r="AA158" i="4"/>
  <c r="AN158" i="4" s="1"/>
  <c r="AB163" i="4"/>
  <c r="AA176" i="4"/>
  <c r="AN176" i="4" s="1"/>
  <c r="AA190" i="4"/>
  <c r="AN190" i="4" s="1"/>
  <c r="AB207" i="4"/>
  <c r="AA207" i="4"/>
  <c r="AN207" i="4" s="1"/>
  <c r="AB208" i="4"/>
  <c r="AA215" i="4"/>
  <c r="AN215" i="4" s="1"/>
  <c r="AB218" i="4"/>
  <c r="AC218" i="4" s="1"/>
  <c r="AM218" i="4" s="1"/>
  <c r="AI218" i="4" s="1"/>
  <c r="AM219" i="4"/>
  <c r="AI219" i="4" s="1"/>
  <c r="AB242" i="4"/>
  <c r="AC242" i="4" s="1"/>
  <c r="AM242" i="4" s="1"/>
  <c r="AI242" i="4" s="1"/>
  <c r="AK242" i="4" s="1"/>
  <c r="AK98" i="4"/>
  <c r="AB184" i="4"/>
  <c r="AA184" i="4"/>
  <c r="AN184" i="4" s="1"/>
  <c r="AB237" i="4"/>
  <c r="AC237" i="4" s="1"/>
  <c r="AA237" i="4"/>
  <c r="AN237" i="4" s="1"/>
  <c r="AM244" i="4"/>
  <c r="AI244" i="4" s="1"/>
  <c r="AB258" i="4"/>
  <c r="AA258" i="4"/>
  <c r="AN258" i="4" s="1"/>
  <c r="K48" i="5"/>
  <c r="L47" i="5"/>
  <c r="AA152" i="4"/>
  <c r="AN152" i="4" s="1"/>
  <c r="AB152" i="4"/>
  <c r="AC152" i="4" s="1"/>
  <c r="AA165" i="4"/>
  <c r="AN165" i="4" s="1"/>
  <c r="AA248" i="4"/>
  <c r="AN248" i="4" s="1"/>
  <c r="AB248" i="4"/>
  <c r="AC248" i="4" s="1"/>
  <c r="AC158" i="4"/>
  <c r="AD158" i="4"/>
  <c r="AE158" i="4" s="1"/>
  <c r="AF158" i="4" s="1"/>
  <c r="AG158" i="4" s="1"/>
  <c r="AP158" i="4" s="1"/>
  <c r="AO158" i="4" s="1"/>
  <c r="AA172" i="4"/>
  <c r="AN172" i="4" s="1"/>
  <c r="AB172" i="4"/>
  <c r="AC172" i="4" s="1"/>
  <c r="AA249" i="4"/>
  <c r="AN249" i="4" s="1"/>
  <c r="AB249" i="4"/>
  <c r="AC249" i="4" s="1"/>
  <c r="AB252" i="4"/>
  <c r="AC252" i="4" s="1"/>
  <c r="AA252" i="4"/>
  <c r="AN252" i="4" s="1"/>
  <c r="AC256" i="4"/>
  <c r="AD256" i="4"/>
  <c r="AE256" i="4" s="1"/>
  <c r="AF256" i="4" s="1"/>
  <c r="AG256" i="4" s="1"/>
  <c r="AP256" i="4" s="1"/>
  <c r="AO256" i="4" s="1"/>
  <c r="AB264" i="4"/>
  <c r="AC264" i="4" s="1"/>
  <c r="AA264" i="4"/>
  <c r="AN264" i="4" s="1"/>
  <c r="AB167" i="4"/>
  <c r="AC167" i="4" s="1"/>
  <c r="AM167" i="4" s="1"/>
  <c r="AI167" i="4" s="1"/>
  <c r="AK167" i="4" s="1"/>
  <c r="AB178" i="4"/>
  <c r="AC178" i="4" s="1"/>
  <c r="AM178" i="4" s="1"/>
  <c r="AI178" i="4" s="1"/>
  <c r="AB199" i="4"/>
  <c r="AC199" i="4" s="1"/>
  <c r="AM199" i="4" s="1"/>
  <c r="AI199" i="4" s="1"/>
  <c r="AB214" i="4"/>
  <c r="AC214" i="4" s="1"/>
  <c r="AM214" i="4" s="1"/>
  <c r="AI214" i="4" s="1"/>
  <c r="AK214" i="4" s="1"/>
  <c r="AK220" i="4"/>
  <c r="AA221" i="4"/>
  <c r="AN221" i="4" s="1"/>
  <c r="AA227" i="4"/>
  <c r="AN227" i="4" s="1"/>
  <c r="AB234" i="4"/>
  <c r="AC234" i="4" s="1"/>
  <c r="AA234" i="4"/>
  <c r="AN234" i="4" s="1"/>
  <c r="AA232" i="4"/>
  <c r="AN232" i="4" s="1"/>
  <c r="AB232" i="4"/>
  <c r="AC232" i="4" s="1"/>
  <c r="AK206" i="4"/>
  <c r="AB209" i="4"/>
  <c r="AA209" i="4"/>
  <c r="AN209" i="4" s="1"/>
  <c r="AA233" i="4"/>
  <c r="AN233" i="4" s="1"/>
  <c r="AB233" i="4"/>
  <c r="AC233" i="4" s="1"/>
  <c r="AB250" i="4"/>
  <c r="AC250" i="4" s="1"/>
  <c r="AA250" i="4"/>
  <c r="AN250" i="4" s="1"/>
  <c r="AA262" i="4"/>
  <c r="AN262" i="4" s="1"/>
  <c r="AB262" i="4"/>
  <c r="AC262" i="4" s="1"/>
  <c r="AA263" i="4"/>
  <c r="AN263" i="4" s="1"/>
  <c r="AA185" i="4"/>
  <c r="AB200" i="4"/>
  <c r="AC200" i="4" s="1"/>
  <c r="AM200" i="4" s="1"/>
  <c r="AI200" i="4" s="1"/>
  <c r="AK202" i="4"/>
  <c r="AA203" i="4"/>
  <c r="AB225" i="4"/>
  <c r="AC225" i="4" s="1"/>
  <c r="AM225" i="4" s="1"/>
  <c r="AI225" i="4" s="1"/>
  <c r="AA236" i="4"/>
  <c r="AN236" i="4" s="1"/>
  <c r="G22" i="5"/>
  <c r="H21" i="5"/>
  <c r="AA228" i="4"/>
  <c r="AN228" i="4" s="1"/>
  <c r="AB228" i="4"/>
  <c r="AC228" i="4" s="1"/>
  <c r="AB229" i="4"/>
  <c r="AC229" i="4" s="1"/>
  <c r="AA229" i="4"/>
  <c r="AN229" i="4" s="1"/>
  <c r="AK262" i="4"/>
  <c r="AK218" i="4"/>
  <c r="AB241" i="4"/>
  <c r="AC241" i="4" s="1"/>
  <c r="AM241" i="4" s="1"/>
  <c r="AI241" i="4" s="1"/>
  <c r="AB247" i="4"/>
  <c r="AC247" i="4" s="1"/>
  <c r="AM247" i="4" s="1"/>
  <c r="AI247" i="4" s="1"/>
  <c r="AB253" i="4"/>
  <c r="AC253" i="4" s="1"/>
  <c r="AM253" i="4" s="1"/>
  <c r="AI253" i="4" s="1"/>
  <c r="AK253" i="4" s="1"/>
  <c r="AB254" i="4"/>
  <c r="AC254" i="4" s="1"/>
  <c r="AM254" i="4" s="1"/>
  <c r="AI254" i="4" s="1"/>
  <c r="AK254" i="4" s="1"/>
  <c r="AB255" i="4"/>
  <c r="AB257" i="4"/>
  <c r="AD259" i="4"/>
  <c r="AE259" i="4" s="1"/>
  <c r="AF259" i="4" s="1"/>
  <c r="AG259" i="4" s="1"/>
  <c r="AP259" i="4" s="1"/>
  <c r="AO259" i="4" s="1"/>
  <c r="A6" i="5"/>
  <c r="B5" i="5"/>
  <c r="J9" i="5"/>
  <c r="K8" i="5"/>
  <c r="L8" i="5" s="1"/>
  <c r="AB266" i="4"/>
  <c r="AC266" i="4" s="1"/>
  <c r="AA266" i="4"/>
  <c r="AN266" i="4" s="1"/>
  <c r="K7" i="5"/>
  <c r="L7" i="5" s="1"/>
  <c r="AB240" i="4"/>
  <c r="AC240" i="4" s="1"/>
  <c r="AM240" i="4" s="1"/>
  <c r="AI240" i="4" s="1"/>
  <c r="AK240" i="4" s="1"/>
  <c r="J45" i="5"/>
  <c r="I46" i="5"/>
  <c r="AB265" i="4"/>
  <c r="AC265" i="4" s="1"/>
  <c r="AM265" i="4" s="1"/>
  <c r="AI265" i="4" s="1"/>
  <c r="G6" i="5"/>
  <c r="D32" i="5"/>
  <c r="D24" i="5"/>
  <c r="C45" i="5"/>
  <c r="D44" i="5"/>
  <c r="J44" i="5"/>
  <c r="AM232" i="4" l="1"/>
  <c r="AI232" i="4" s="1"/>
  <c r="AK232" i="4" s="1"/>
  <c r="AM159" i="4"/>
  <c r="AM172" i="4"/>
  <c r="AI172" i="4" s="1"/>
  <c r="AK172" i="4" s="1"/>
  <c r="AM228" i="4"/>
  <c r="AI228" i="4" s="1"/>
  <c r="AK228" i="4" s="1"/>
  <c r="AM249" i="4"/>
  <c r="AI249" i="4" s="1"/>
  <c r="AM100" i="4"/>
  <c r="AI100" i="4" s="1"/>
  <c r="AM95" i="4"/>
  <c r="AI95" i="4" s="1"/>
  <c r="AK95" i="4" s="1"/>
  <c r="AM84" i="4"/>
  <c r="AI84" i="4" s="1"/>
  <c r="AM165" i="4"/>
  <c r="AI165" i="4" s="1"/>
  <c r="AK165" i="4" s="1"/>
  <c r="AM223" i="4"/>
  <c r="AI223" i="4" s="1"/>
  <c r="AM158" i="4"/>
  <c r="AM191" i="4"/>
  <c r="AI191" i="4" s="1"/>
  <c r="AM78" i="4"/>
  <c r="AI78" i="4" s="1"/>
  <c r="AM248" i="4"/>
  <c r="AI248" i="4" s="1"/>
  <c r="AM231" i="4"/>
  <c r="AI231" i="4" s="1"/>
  <c r="AK231" i="4" s="1"/>
  <c r="AM135" i="4"/>
  <c r="AI135" i="4" s="1"/>
  <c r="AK135" i="4" s="1"/>
  <c r="AM94" i="4"/>
  <c r="AI94" i="4" s="1"/>
  <c r="AK94" i="4" s="1"/>
  <c r="AM222" i="4"/>
  <c r="AI222" i="4" s="1"/>
  <c r="AM106" i="4"/>
  <c r="AI106" i="4" s="1"/>
  <c r="AM198" i="4"/>
  <c r="AI198" i="4" s="1"/>
  <c r="AM262" i="4"/>
  <c r="AI262" i="4" s="1"/>
  <c r="AM34" i="4"/>
  <c r="AI34" i="4" s="1"/>
  <c r="AK34" i="4" s="1"/>
  <c r="AM58" i="4"/>
  <c r="AI58" i="4" s="1"/>
  <c r="AK58" i="4" s="1"/>
  <c r="AM143" i="4"/>
  <c r="AI143" i="4" s="1"/>
  <c r="AK143" i="4" s="1"/>
  <c r="AM6" i="4"/>
  <c r="AI6" i="4" s="1"/>
  <c r="AM197" i="4"/>
  <c r="AI197" i="4" s="1"/>
  <c r="AM98" i="4"/>
  <c r="AI98" i="4" s="1"/>
  <c r="AM166" i="4"/>
  <c r="AI166" i="4" s="1"/>
  <c r="AK166" i="4" s="1"/>
  <c r="AM105" i="4"/>
  <c r="AI105" i="4" s="1"/>
  <c r="AM121" i="4"/>
  <c r="AI121" i="4" s="1"/>
  <c r="AK121" i="4" s="1"/>
  <c r="AM33" i="4"/>
  <c r="AI33" i="4" s="1"/>
  <c r="AM259" i="4"/>
  <c r="AM175" i="4"/>
  <c r="AI175" i="4" s="1"/>
  <c r="AM233" i="4"/>
  <c r="AI233" i="4" s="1"/>
  <c r="AK233" i="4" s="1"/>
  <c r="AM176" i="4"/>
  <c r="AI176" i="4" s="1"/>
  <c r="AM152" i="4"/>
  <c r="AI152" i="4" s="1"/>
  <c r="AM144" i="4"/>
  <c r="AI144" i="4" s="1"/>
  <c r="AM148" i="4"/>
  <c r="AI148" i="4" s="1"/>
  <c r="AK148" i="4" s="1"/>
  <c r="AM104" i="4"/>
  <c r="AI104" i="4" s="1"/>
  <c r="AM29" i="4"/>
  <c r="AI29" i="4" s="1"/>
  <c r="AM53" i="4"/>
  <c r="AI53" i="4" s="1"/>
  <c r="AK53" i="4" s="1"/>
  <c r="AM110" i="4"/>
  <c r="AI110" i="4" s="1"/>
  <c r="AK110" i="4" s="1"/>
  <c r="AM147" i="4"/>
  <c r="AI147" i="4" s="1"/>
  <c r="AK147" i="4" s="1"/>
  <c r="AM79" i="4"/>
  <c r="AI79" i="4" s="1"/>
  <c r="AM161" i="4"/>
  <c r="AI161" i="4" s="1"/>
  <c r="AM190" i="4"/>
  <c r="AI190" i="4" s="1"/>
  <c r="AK190" i="4" s="1"/>
  <c r="AM236" i="4"/>
  <c r="AI236" i="4" s="1"/>
  <c r="AK236" i="4" s="1"/>
  <c r="AI183" i="4"/>
  <c r="AK183" i="4" s="1"/>
  <c r="AM132" i="4"/>
  <c r="AI132" i="4" s="1"/>
  <c r="AK132" i="4" s="1"/>
  <c r="AM80" i="4"/>
  <c r="AI80" i="4" s="1"/>
  <c r="AM23" i="4"/>
  <c r="AI23" i="4" s="1"/>
  <c r="AK23" i="4" s="1"/>
  <c r="AM7" i="4"/>
  <c r="AI7" i="4" s="1"/>
  <c r="AM27" i="4"/>
  <c r="AI27" i="4" s="1"/>
  <c r="AK27" i="4" s="1"/>
  <c r="AM168" i="4"/>
  <c r="AI168" i="4" s="1"/>
  <c r="AK168" i="4" s="1"/>
  <c r="AD206" i="4"/>
  <c r="AE206" i="4" s="1"/>
  <c r="AF206" i="4" s="1"/>
  <c r="AG206" i="4" s="1"/>
  <c r="AP206" i="4" s="1"/>
  <c r="AO206" i="4" s="1"/>
  <c r="AC206" i="4"/>
  <c r="AM206" i="4" s="1"/>
  <c r="AD181" i="4"/>
  <c r="AE181" i="4" s="1"/>
  <c r="AF181" i="4" s="1"/>
  <c r="AG181" i="4" s="1"/>
  <c r="AP181" i="4" s="1"/>
  <c r="AO181" i="4" s="1"/>
  <c r="AC181" i="4"/>
  <c r="AM181" i="4" s="1"/>
  <c r="B45" i="5"/>
  <c r="A46" i="5"/>
  <c r="AD138" i="4"/>
  <c r="AE138" i="4" s="1"/>
  <c r="AF138" i="4" s="1"/>
  <c r="AG138" i="4" s="1"/>
  <c r="AP138" i="4" s="1"/>
  <c r="AO138" i="4" s="1"/>
  <c r="AC138" i="4"/>
  <c r="AM138" i="4" s="1"/>
  <c r="AC211" i="4"/>
  <c r="AM211" i="4" s="1"/>
  <c r="AI211" i="4" s="1"/>
  <c r="AK211" i="4" s="1"/>
  <c r="AM114" i="4"/>
  <c r="AI114" i="4" s="1"/>
  <c r="AK114" i="4" s="1"/>
  <c r="AM126" i="4"/>
  <c r="AI126" i="4" s="1"/>
  <c r="O28" i="5"/>
  <c r="N29" i="5"/>
  <c r="AM11" i="4"/>
  <c r="AI11" i="4" s="1"/>
  <c r="AM83" i="4"/>
  <c r="AI83" i="4" s="1"/>
  <c r="AK83" i="4" s="1"/>
  <c r="AM136" i="4"/>
  <c r="AI136" i="4" s="1"/>
  <c r="AK136" i="4" s="1"/>
  <c r="AM59" i="4"/>
  <c r="AI59" i="4" s="1"/>
  <c r="AK59" i="4" s="1"/>
  <c r="AM62" i="4"/>
  <c r="AI62" i="4" s="1"/>
  <c r="AM124" i="4"/>
  <c r="AI124" i="4" s="1"/>
  <c r="AM256" i="4"/>
  <c r="AM224" i="4"/>
  <c r="AI224" i="4" s="1"/>
  <c r="AM261" i="4"/>
  <c r="AI261" i="4" s="1"/>
  <c r="AK261" i="4" s="1"/>
  <c r="AM151" i="4"/>
  <c r="AI151" i="4" s="1"/>
  <c r="AM149" i="4"/>
  <c r="AI149" i="4" s="1"/>
  <c r="AK149" i="4" s="1"/>
  <c r="AM128" i="4"/>
  <c r="AI128" i="4" s="1"/>
  <c r="AM130" i="4"/>
  <c r="AI130" i="4" s="1"/>
  <c r="AC63" i="4"/>
  <c r="AM63" i="4" s="1"/>
  <c r="AI63" i="4" s="1"/>
  <c r="AK63" i="4" s="1"/>
  <c r="AM51" i="4"/>
  <c r="AI51" i="4" s="1"/>
  <c r="AK51" i="4" s="1"/>
  <c r="AM87" i="4"/>
  <c r="AI87" i="4" s="1"/>
  <c r="AK87" i="4" s="1"/>
  <c r="AM186" i="4"/>
  <c r="AI186" i="4" s="1"/>
  <c r="AK186" i="4" s="1"/>
  <c r="AM86" i="4"/>
  <c r="AI86" i="4" s="1"/>
  <c r="AK86" i="4" s="1"/>
  <c r="AM238" i="4"/>
  <c r="AI238" i="4" s="1"/>
  <c r="AK238" i="4" s="1"/>
  <c r="AM107" i="4"/>
  <c r="AI107" i="4" s="1"/>
  <c r="AK107" i="4" s="1"/>
  <c r="AI187" i="4"/>
  <c r="AK187" i="4" s="1"/>
  <c r="F58" i="3"/>
  <c r="F60" i="3" s="1"/>
  <c r="F62" i="3" s="1"/>
  <c r="F49" i="3"/>
  <c r="F50" i="3" s="1"/>
  <c r="F51" i="3" s="1"/>
  <c r="E58" i="3"/>
  <c r="E60" i="3" s="1"/>
  <c r="E62" i="3" s="1"/>
  <c r="E49" i="3"/>
  <c r="E50" i="3" s="1"/>
  <c r="E51" i="3" s="1"/>
  <c r="AI91" i="4"/>
  <c r="AK91" i="4" s="1"/>
  <c r="C50" i="3"/>
  <c r="C51" i="3" s="1"/>
  <c r="C33" i="3"/>
  <c r="E33" i="3" s="1"/>
  <c r="D50" i="3"/>
  <c r="D51" i="3" s="1"/>
  <c r="D33" i="3"/>
  <c r="F33" i="3" s="1"/>
  <c r="C20" i="3"/>
  <c r="E20" i="3" s="1"/>
  <c r="F42" i="3"/>
  <c r="D34" i="3" s="1"/>
  <c r="F34" i="3" s="1"/>
  <c r="C42" i="3"/>
  <c r="C43" i="3" s="1"/>
  <c r="D42" i="3"/>
  <c r="D43" i="3" s="1"/>
  <c r="D20" i="3"/>
  <c r="F20" i="3" s="1"/>
  <c r="E42" i="3"/>
  <c r="C34" i="3" s="1"/>
  <c r="E34" i="3" s="1"/>
  <c r="G30" i="2"/>
  <c r="D39" i="2" s="1"/>
  <c r="F39" i="2" s="1"/>
  <c r="F30" i="2"/>
  <c r="H30" i="2" s="1"/>
  <c r="I30" i="2" s="1"/>
  <c r="G32" i="2"/>
  <c r="D41" i="2" s="1"/>
  <c r="F41" i="2" s="1"/>
  <c r="C39" i="2"/>
  <c r="G33" i="2"/>
  <c r="D42" i="2" s="1"/>
  <c r="F42" i="2" s="1"/>
  <c r="C41" i="2"/>
  <c r="C42" i="2"/>
  <c r="AC157" i="4"/>
  <c r="AM157" i="4" s="1"/>
  <c r="AD157" i="4"/>
  <c r="AE157" i="4" s="1"/>
  <c r="AF157" i="4" s="1"/>
  <c r="AG157" i="4" s="1"/>
  <c r="AP157" i="4" s="1"/>
  <c r="AO157" i="4" s="1"/>
  <c r="AD257" i="4"/>
  <c r="AE257" i="4" s="1"/>
  <c r="AF257" i="4" s="1"/>
  <c r="AG257" i="4" s="1"/>
  <c r="AP257" i="4" s="1"/>
  <c r="AO257" i="4" s="1"/>
  <c r="AC257" i="4"/>
  <c r="AM257" i="4" s="1"/>
  <c r="AI212" i="4"/>
  <c r="AK212" i="4" s="1"/>
  <c r="AM195" i="4"/>
  <c r="AI195" i="4" s="1"/>
  <c r="AK195" i="4" s="1"/>
  <c r="AC65" i="4"/>
  <c r="AM65" i="4" s="1"/>
  <c r="AD65" i="4"/>
  <c r="AE65" i="4" s="1"/>
  <c r="AF65" i="4" s="1"/>
  <c r="AG65" i="4" s="1"/>
  <c r="AP65" i="4" s="1"/>
  <c r="AO65" i="4" s="1"/>
  <c r="AM77" i="4"/>
  <c r="AI77" i="4" s="1"/>
  <c r="AM82" i="4"/>
  <c r="AI82" i="4" s="1"/>
  <c r="AC255" i="4"/>
  <c r="AM255" i="4" s="1"/>
  <c r="AD255" i="4"/>
  <c r="AE255" i="4" s="1"/>
  <c r="AF255" i="4" s="1"/>
  <c r="AG255" i="4" s="1"/>
  <c r="AP255" i="4" s="1"/>
  <c r="AO255" i="4" s="1"/>
  <c r="AM260" i="4"/>
  <c r="AI260" i="4" s="1"/>
  <c r="AK260" i="4" s="1"/>
  <c r="AC118" i="4"/>
  <c r="AM118" i="4" s="1"/>
  <c r="AD118" i="4"/>
  <c r="AE118" i="4" s="1"/>
  <c r="AF118" i="4" s="1"/>
  <c r="AG118" i="4" s="1"/>
  <c r="AP118" i="4" s="1"/>
  <c r="AO118" i="4" s="1"/>
  <c r="AM47" i="4"/>
  <c r="AI47" i="4" s="1"/>
  <c r="AK47" i="4" s="1"/>
  <c r="AM129" i="4"/>
  <c r="AI129" i="4" s="1"/>
  <c r="AC209" i="4"/>
  <c r="AM209" i="4" s="1"/>
  <c r="AD209" i="4"/>
  <c r="AE209" i="4" s="1"/>
  <c r="AF209" i="4" s="1"/>
  <c r="AG209" i="4" s="1"/>
  <c r="AP209" i="4" s="1"/>
  <c r="AO209" i="4" s="1"/>
  <c r="AM131" i="4"/>
  <c r="AI131" i="4" s="1"/>
  <c r="AK131" i="4" s="1"/>
  <c r="AC164" i="4"/>
  <c r="AM164" i="4" s="1"/>
  <c r="AD164" i="4"/>
  <c r="AE164" i="4" s="1"/>
  <c r="AF164" i="4" s="1"/>
  <c r="AG164" i="4" s="1"/>
  <c r="AP164" i="4" s="1"/>
  <c r="AO164" i="4" s="1"/>
  <c r="AM115" i="4"/>
  <c r="AI115" i="4" s="1"/>
  <c r="AK115" i="4" s="1"/>
  <c r="AM127" i="4"/>
  <c r="AI127" i="4" s="1"/>
  <c r="AM19" i="4"/>
  <c r="AI19" i="4" s="1"/>
  <c r="AK19" i="4" s="1"/>
  <c r="AM25" i="4"/>
  <c r="AI25" i="4" s="1"/>
  <c r="AK25" i="4" s="1"/>
  <c r="AM263" i="4"/>
  <c r="AI263" i="4" s="1"/>
  <c r="AK263" i="4" s="1"/>
  <c r="AM252" i="4"/>
  <c r="AI252" i="4" s="1"/>
  <c r="AK252" i="4" s="1"/>
  <c r="AM226" i="4"/>
  <c r="AI226" i="4" s="1"/>
  <c r="AK226" i="4" s="1"/>
  <c r="AM194" i="4"/>
  <c r="AI194" i="4" s="1"/>
  <c r="AK194" i="4" s="1"/>
  <c r="AN203" i="4"/>
  <c r="AM203" i="4"/>
  <c r="AI203" i="4" s="1"/>
  <c r="AK203" i="4" s="1"/>
  <c r="AI259" i="4"/>
  <c r="AK259" i="4" s="1"/>
  <c r="K49" i="5"/>
  <c r="L48" i="5"/>
  <c r="AC184" i="4"/>
  <c r="AM184" i="4" s="1"/>
  <c r="AD184" i="4"/>
  <c r="AE184" i="4" s="1"/>
  <c r="AF184" i="4" s="1"/>
  <c r="AG184" i="4" s="1"/>
  <c r="AP184" i="4" s="1"/>
  <c r="AO184" i="4" s="1"/>
  <c r="AM215" i="4"/>
  <c r="AI215" i="4" s="1"/>
  <c r="AK215" i="4" s="1"/>
  <c r="AM227" i="4"/>
  <c r="AI227" i="4" s="1"/>
  <c r="AK227" i="4" s="1"/>
  <c r="N7" i="5"/>
  <c r="O6" i="5"/>
  <c r="P6" i="5" s="1"/>
  <c r="AM69" i="4"/>
  <c r="AI69" i="4" s="1"/>
  <c r="AM171" i="4"/>
  <c r="AI171" i="4" s="1"/>
  <c r="AK171" i="4" s="1"/>
  <c r="AD22" i="4"/>
  <c r="AE22" i="4" s="1"/>
  <c r="AF22" i="4" s="1"/>
  <c r="AG22" i="4" s="1"/>
  <c r="AP22" i="4" s="1"/>
  <c r="AO22" i="4" s="1"/>
  <c r="AC22" i="4"/>
  <c r="AM22" i="4" s="1"/>
  <c r="AD17" i="4"/>
  <c r="AE17" i="4" s="1"/>
  <c r="AF17" i="4" s="1"/>
  <c r="AG17" i="4" s="1"/>
  <c r="AP17" i="4" s="1"/>
  <c r="AO17" i="4" s="1"/>
  <c r="AC17" i="4"/>
  <c r="AM17" i="4" s="1"/>
  <c r="E32" i="5"/>
  <c r="D33" i="5"/>
  <c r="A7" i="5"/>
  <c r="B6" i="5"/>
  <c r="H22" i="5"/>
  <c r="G23" i="5"/>
  <c r="AM250" i="4"/>
  <c r="AI250" i="4" s="1"/>
  <c r="AM220" i="4"/>
  <c r="AI220" i="4" s="1"/>
  <c r="AM169" i="4"/>
  <c r="AI169" i="4" s="1"/>
  <c r="AK169" i="4" s="1"/>
  <c r="AM109" i="4"/>
  <c r="AI109" i="4" s="1"/>
  <c r="AK109" i="4" s="1"/>
  <c r="AM76" i="4"/>
  <c r="AI76" i="4" s="1"/>
  <c r="AM10" i="4"/>
  <c r="AI10" i="4" s="1"/>
  <c r="AM37" i="4"/>
  <c r="AI37" i="4" s="1"/>
  <c r="AK37" i="4" s="1"/>
  <c r="AM31" i="4"/>
  <c r="AI31" i="4" s="1"/>
  <c r="AM101" i="4"/>
  <c r="AI101" i="4" s="1"/>
  <c r="AC18" i="4"/>
  <c r="AM18" i="4" s="1"/>
  <c r="AD18" i="4"/>
  <c r="AE18" i="4" s="1"/>
  <c r="AF18" i="4" s="1"/>
  <c r="AG18" i="4" s="1"/>
  <c r="AP18" i="4" s="1"/>
  <c r="AO18" i="4" s="1"/>
  <c r="AC42" i="4"/>
  <c r="AM42" i="4" s="1"/>
  <c r="AD42" i="4"/>
  <c r="AE42" i="4" s="1"/>
  <c r="AF42" i="4" s="1"/>
  <c r="AG42" i="4" s="1"/>
  <c r="AP42" i="4" s="1"/>
  <c r="AO42" i="4" s="1"/>
  <c r="AM30" i="4"/>
  <c r="AI30" i="4" s="1"/>
  <c r="AD44" i="4"/>
  <c r="AE44" i="4" s="1"/>
  <c r="AF44" i="4" s="1"/>
  <c r="AG44" i="4" s="1"/>
  <c r="AP44" i="4" s="1"/>
  <c r="AO44" i="4" s="1"/>
  <c r="AC44" i="4"/>
  <c r="AM44" i="4" s="1"/>
  <c r="AM85" i="4"/>
  <c r="AI85" i="4" s="1"/>
  <c r="AK85" i="4" s="1"/>
  <c r="AI43" i="4"/>
  <c r="AK43" i="4" s="1"/>
  <c r="AM5" i="4"/>
  <c r="AI5" i="4" s="1"/>
  <c r="AD258" i="4"/>
  <c r="AE258" i="4" s="1"/>
  <c r="AF258" i="4" s="1"/>
  <c r="AG258" i="4" s="1"/>
  <c r="AP258" i="4" s="1"/>
  <c r="AO258" i="4" s="1"/>
  <c r="AC258" i="4"/>
  <c r="AM258" i="4" s="1"/>
  <c r="AD207" i="4"/>
  <c r="AE207" i="4" s="1"/>
  <c r="AF207" i="4" s="1"/>
  <c r="AG207" i="4" s="1"/>
  <c r="AP207" i="4" s="1"/>
  <c r="AO207" i="4" s="1"/>
  <c r="AC207" i="4"/>
  <c r="AM207" i="4" s="1"/>
  <c r="AD45" i="4"/>
  <c r="AE45" i="4" s="1"/>
  <c r="AF45" i="4" s="1"/>
  <c r="AG45" i="4" s="1"/>
  <c r="AP45" i="4" s="1"/>
  <c r="AO45" i="4" s="1"/>
  <c r="AC45" i="4"/>
  <c r="AM45" i="4" s="1"/>
  <c r="AC39" i="4"/>
  <c r="AM39" i="4" s="1"/>
  <c r="AD39" i="4"/>
  <c r="AE39" i="4" s="1"/>
  <c r="AF39" i="4" s="1"/>
  <c r="AG39" i="4" s="1"/>
  <c r="AP39" i="4" s="1"/>
  <c r="AO39" i="4" s="1"/>
  <c r="AN185" i="4"/>
  <c r="AM185" i="4" s="1"/>
  <c r="AI185" i="4" s="1"/>
  <c r="AK185" i="4" s="1"/>
  <c r="AM264" i="4"/>
  <c r="AI264" i="4" s="1"/>
  <c r="AK264" i="4" s="1"/>
  <c r="E14" i="5"/>
  <c r="D15" i="5"/>
  <c r="AM74" i="4"/>
  <c r="AI74" i="4" s="1"/>
  <c r="AD180" i="4"/>
  <c r="AE180" i="4" s="1"/>
  <c r="AF180" i="4" s="1"/>
  <c r="AG180" i="4" s="1"/>
  <c r="AP180" i="4" s="1"/>
  <c r="AO180" i="4" s="1"/>
  <c r="AC180" i="4"/>
  <c r="AM180" i="4" s="1"/>
  <c r="AI113" i="4"/>
  <c r="AK113" i="4" s="1"/>
  <c r="AC61" i="4"/>
  <c r="AM61" i="4" s="1"/>
  <c r="AD61" i="4"/>
  <c r="AE61" i="4" s="1"/>
  <c r="AF61" i="4" s="1"/>
  <c r="AG61" i="4" s="1"/>
  <c r="AP61" i="4" s="1"/>
  <c r="AO61" i="4" s="1"/>
  <c r="AD4" i="4"/>
  <c r="AE4" i="4" s="1"/>
  <c r="AF4" i="4" s="1"/>
  <c r="AC4" i="4"/>
  <c r="AM4" i="4" s="1"/>
  <c r="AM9" i="4"/>
  <c r="AI9" i="4" s="1"/>
  <c r="AM12" i="4"/>
  <c r="AI12" i="4" s="1"/>
  <c r="AK12" i="4" s="1"/>
  <c r="AM201" i="4"/>
  <c r="AI201" i="4" s="1"/>
  <c r="AK201" i="4" s="1"/>
  <c r="AM150" i="4"/>
  <c r="AI150" i="4" s="1"/>
  <c r="AK150" i="4" s="1"/>
  <c r="AM97" i="4"/>
  <c r="AI97" i="4" s="1"/>
  <c r="AK97" i="4" s="1"/>
  <c r="AM73" i="4"/>
  <c r="AI73" i="4" s="1"/>
  <c r="AD163" i="4"/>
  <c r="AE163" i="4" s="1"/>
  <c r="AF163" i="4" s="1"/>
  <c r="AG163" i="4" s="1"/>
  <c r="AP163" i="4" s="1"/>
  <c r="AO163" i="4" s="1"/>
  <c r="AC163" i="4"/>
  <c r="AM163" i="4" s="1"/>
  <c r="AD117" i="4"/>
  <c r="AE117" i="4" s="1"/>
  <c r="AF117" i="4" s="1"/>
  <c r="AG117" i="4" s="1"/>
  <c r="AP117" i="4" s="1"/>
  <c r="AO117" i="4" s="1"/>
  <c r="AC117" i="4"/>
  <c r="AM117" i="4" s="1"/>
  <c r="AM153" i="4"/>
  <c r="AI153" i="4" s="1"/>
  <c r="AM230" i="4"/>
  <c r="AI230" i="4" s="1"/>
  <c r="AK230" i="4" s="1"/>
  <c r="AM26" i="4"/>
  <c r="AI26" i="4" s="1"/>
  <c r="AK26" i="4" s="1"/>
  <c r="AD46" i="4"/>
  <c r="AE46" i="4" s="1"/>
  <c r="AF46" i="4" s="1"/>
  <c r="AG46" i="4" s="1"/>
  <c r="AP46" i="4" s="1"/>
  <c r="AO46" i="4" s="1"/>
  <c r="AC46" i="4"/>
  <c r="AM46" i="4" s="1"/>
  <c r="AM119" i="4"/>
  <c r="AI119" i="4" s="1"/>
  <c r="AK119" i="4" s="1"/>
  <c r="AC142" i="4"/>
  <c r="AM142" i="4" s="1"/>
  <c r="AD142" i="4"/>
  <c r="AE142" i="4" s="1"/>
  <c r="AF142" i="4" s="1"/>
  <c r="AG142" i="4" s="1"/>
  <c r="AP142" i="4" s="1"/>
  <c r="AO142" i="4" s="1"/>
  <c r="AM28" i="4"/>
  <c r="AI28" i="4" s="1"/>
  <c r="AK28" i="4" s="1"/>
  <c r="AM49" i="4"/>
  <c r="AI49" i="4" s="1"/>
  <c r="AK49" i="4" s="1"/>
  <c r="AM68" i="4"/>
  <c r="AI68" i="4" s="1"/>
  <c r="AI66" i="4"/>
  <c r="AK66" i="4" s="1"/>
  <c r="AM36" i="4"/>
  <c r="AI36" i="4" s="1"/>
  <c r="AK36" i="4" s="1"/>
  <c r="H6" i="5"/>
  <c r="G7" i="5"/>
  <c r="AC92" i="4"/>
  <c r="AM92" i="4" s="1"/>
  <c r="AD92" i="4"/>
  <c r="AE92" i="4" s="1"/>
  <c r="AF92" i="4" s="1"/>
  <c r="AG92" i="4" s="1"/>
  <c r="AP92" i="4" s="1"/>
  <c r="AO92" i="4" s="1"/>
  <c r="AD133" i="4"/>
  <c r="AE133" i="4" s="1"/>
  <c r="AF133" i="4" s="1"/>
  <c r="AG133" i="4" s="1"/>
  <c r="AP133" i="4" s="1"/>
  <c r="AO133" i="4" s="1"/>
  <c r="AC133" i="4"/>
  <c r="AM133" i="4" s="1"/>
  <c r="AM266" i="4"/>
  <c r="AI266" i="4" s="1"/>
  <c r="AM123" i="4"/>
  <c r="AI123" i="4" s="1"/>
  <c r="AK123" i="4" s="1"/>
  <c r="C40" i="2"/>
  <c r="G31" i="2"/>
  <c r="D40" i="2" s="1"/>
  <c r="F40" i="2" s="1"/>
  <c r="AD189" i="4"/>
  <c r="AE189" i="4" s="1"/>
  <c r="AF189" i="4" s="1"/>
  <c r="AG189" i="4" s="1"/>
  <c r="AP189" i="4" s="1"/>
  <c r="AO189" i="4" s="1"/>
  <c r="AC189" i="4"/>
  <c r="AM189" i="4" s="1"/>
  <c r="AD188" i="4"/>
  <c r="AE188" i="4" s="1"/>
  <c r="AF188" i="4" s="1"/>
  <c r="AG188" i="4" s="1"/>
  <c r="AP188" i="4" s="1"/>
  <c r="AO188" i="4" s="1"/>
  <c r="AC188" i="4"/>
  <c r="AM188" i="4" s="1"/>
  <c r="J46" i="5"/>
  <c r="I47" i="5"/>
  <c r="AI256" i="4"/>
  <c r="AK256" i="4" s="1"/>
  <c r="AM75" i="4"/>
  <c r="AI75" i="4" s="1"/>
  <c r="AM57" i="4"/>
  <c r="AI57" i="4" s="1"/>
  <c r="C46" i="5"/>
  <c r="D45" i="5"/>
  <c r="K9" i="5"/>
  <c r="L9" i="5" s="1"/>
  <c r="J10" i="5"/>
  <c r="AD112" i="4"/>
  <c r="AE112" i="4" s="1"/>
  <c r="AF112" i="4" s="1"/>
  <c r="AG112" i="4" s="1"/>
  <c r="AP112" i="4" s="1"/>
  <c r="AO112" i="4" s="1"/>
  <c r="AC112" i="4"/>
  <c r="AM112" i="4" s="1"/>
  <c r="AM102" i="4"/>
  <c r="AI102" i="4" s="1"/>
  <c r="AD156" i="4"/>
  <c r="AE156" i="4" s="1"/>
  <c r="AF156" i="4" s="1"/>
  <c r="AG156" i="4" s="1"/>
  <c r="AP156" i="4" s="1"/>
  <c r="AO156" i="4" s="1"/>
  <c r="AC156" i="4"/>
  <c r="AM156" i="4" s="1"/>
  <c r="AC134" i="4"/>
  <c r="AM134" i="4" s="1"/>
  <c r="AD134" i="4"/>
  <c r="AE134" i="4" s="1"/>
  <c r="AF134" i="4" s="1"/>
  <c r="AG134" i="4" s="1"/>
  <c r="AP134" i="4" s="1"/>
  <c r="AO134" i="4" s="1"/>
  <c r="AD64" i="4"/>
  <c r="AE64" i="4" s="1"/>
  <c r="AF64" i="4" s="1"/>
  <c r="AG64" i="4" s="1"/>
  <c r="AP64" i="4" s="1"/>
  <c r="AO64" i="4" s="1"/>
  <c r="AC64" i="4"/>
  <c r="AM64" i="4" s="1"/>
  <c r="AM50" i="4"/>
  <c r="AI50" i="4" s="1"/>
  <c r="AK50" i="4" s="1"/>
  <c r="AM60" i="4"/>
  <c r="AI60" i="4" s="1"/>
  <c r="AK60" i="4" s="1"/>
  <c r="AM55" i="4"/>
  <c r="AI55" i="4" s="1"/>
  <c r="AM38" i="4"/>
  <c r="AI38" i="4" s="1"/>
  <c r="AK38" i="4" s="1"/>
  <c r="AM54" i="4"/>
  <c r="AI54" i="4" s="1"/>
  <c r="AK54" i="4" s="1"/>
  <c r="AM81" i="4"/>
  <c r="AI81" i="4" s="1"/>
  <c r="AD15" i="4"/>
  <c r="AE15" i="4" s="1"/>
  <c r="AF15" i="4" s="1"/>
  <c r="AG15" i="4" s="1"/>
  <c r="AP15" i="4" s="1"/>
  <c r="AO15" i="4" s="1"/>
  <c r="AC15" i="4"/>
  <c r="AM15" i="4" s="1"/>
  <c r="AD205" i="4"/>
  <c r="AE205" i="4" s="1"/>
  <c r="AF205" i="4" s="1"/>
  <c r="AG205" i="4" s="1"/>
  <c r="AP205" i="4" s="1"/>
  <c r="AO205" i="4" s="1"/>
  <c r="AC205" i="4"/>
  <c r="AM205" i="4" s="1"/>
  <c r="AC16" i="4"/>
  <c r="AM16" i="4" s="1"/>
  <c r="AD16" i="4"/>
  <c r="AE16" i="4" s="1"/>
  <c r="AF16" i="4" s="1"/>
  <c r="AG16" i="4" s="1"/>
  <c r="AP16" i="4" s="1"/>
  <c r="AO16" i="4" s="1"/>
  <c r="AD162" i="4"/>
  <c r="AE162" i="4" s="1"/>
  <c r="AF162" i="4" s="1"/>
  <c r="AG162" i="4" s="1"/>
  <c r="AP162" i="4" s="1"/>
  <c r="AO162" i="4" s="1"/>
  <c r="AC162" i="4"/>
  <c r="AM162" i="4" s="1"/>
  <c r="AD21" i="4"/>
  <c r="AE21" i="4" s="1"/>
  <c r="AF21" i="4" s="1"/>
  <c r="AG21" i="4" s="1"/>
  <c r="AP21" i="4" s="1"/>
  <c r="AO21" i="4" s="1"/>
  <c r="AC21" i="4"/>
  <c r="AM21" i="4" s="1"/>
  <c r="AM108" i="4"/>
  <c r="AI108" i="4" s="1"/>
  <c r="AK108" i="4" s="1"/>
  <c r="AC20" i="4"/>
  <c r="AM20" i="4" s="1"/>
  <c r="AD20" i="4"/>
  <c r="AE20" i="4" s="1"/>
  <c r="AF20" i="4" s="1"/>
  <c r="AG20" i="4" s="1"/>
  <c r="AP20" i="4" s="1"/>
  <c r="AO20" i="4" s="1"/>
  <c r="AM229" i="4"/>
  <c r="AI229" i="4" s="1"/>
  <c r="AK229" i="4" s="1"/>
  <c r="AM177" i="4"/>
  <c r="AI177" i="4" s="1"/>
  <c r="AK177" i="4" s="1"/>
  <c r="AM125" i="4"/>
  <c r="AI125" i="4" s="1"/>
  <c r="AD41" i="4"/>
  <c r="AE41" i="4" s="1"/>
  <c r="AF41" i="4" s="1"/>
  <c r="AG41" i="4" s="1"/>
  <c r="AP41" i="4" s="1"/>
  <c r="AO41" i="4" s="1"/>
  <c r="AC41" i="4"/>
  <c r="AM41" i="4" s="1"/>
  <c r="AM237" i="4"/>
  <c r="AI237" i="4" s="1"/>
  <c r="AK237" i="4" s="1"/>
  <c r="AM155" i="4"/>
  <c r="AI155" i="4" s="1"/>
  <c r="AK155" i="4" s="1"/>
  <c r="AM122" i="4"/>
  <c r="AI122" i="4" s="1"/>
  <c r="AK122" i="4" s="1"/>
  <c r="AM170" i="4"/>
  <c r="AI170" i="4" s="1"/>
  <c r="AK170" i="4" s="1"/>
  <c r="AM182" i="4"/>
  <c r="AI182" i="4" s="1"/>
  <c r="AK182" i="4" s="1"/>
  <c r="AM221" i="4"/>
  <c r="AI221" i="4" s="1"/>
  <c r="AI158" i="4"/>
  <c r="AK158" i="4" s="1"/>
  <c r="E24" i="5"/>
  <c r="D25" i="5"/>
  <c r="AM234" i="4"/>
  <c r="AI234" i="4" s="1"/>
  <c r="AK234" i="4" s="1"/>
  <c r="AC208" i="4"/>
  <c r="AM208" i="4" s="1"/>
  <c r="AD208" i="4"/>
  <c r="AE208" i="4" s="1"/>
  <c r="AF208" i="4" s="1"/>
  <c r="AG208" i="4" s="1"/>
  <c r="AP208" i="4" s="1"/>
  <c r="AO208" i="4" s="1"/>
  <c r="AI210" i="4"/>
  <c r="AK210" i="4" s="1"/>
  <c r="AI159" i="4"/>
  <c r="AK159" i="4" s="1"/>
  <c r="AD116" i="4"/>
  <c r="AE116" i="4" s="1"/>
  <c r="AF116" i="4" s="1"/>
  <c r="AG116" i="4" s="1"/>
  <c r="AP116" i="4" s="1"/>
  <c r="AO116" i="4" s="1"/>
  <c r="AC116" i="4"/>
  <c r="AM116" i="4" s="1"/>
  <c r="AD40" i="4"/>
  <c r="AE40" i="4" s="1"/>
  <c r="AF40" i="4" s="1"/>
  <c r="AG40" i="4" s="1"/>
  <c r="AP40" i="4" s="1"/>
  <c r="AO40" i="4" s="1"/>
  <c r="AC40" i="4"/>
  <c r="AM40" i="4" s="1"/>
  <c r="AM137" i="4"/>
  <c r="AI137" i="4" s="1"/>
  <c r="AK137" i="4" s="1"/>
  <c r="AM52" i="4"/>
  <c r="AI52" i="4" s="1"/>
  <c r="AK52" i="4" s="1"/>
  <c r="AD89" i="4"/>
  <c r="AE89" i="4" s="1"/>
  <c r="AF89" i="4" s="1"/>
  <c r="AG89" i="4" s="1"/>
  <c r="AP89" i="4" s="1"/>
  <c r="AO89" i="4" s="1"/>
  <c r="AC89" i="4"/>
  <c r="AM89" i="4" s="1"/>
  <c r="AM67" i="4"/>
  <c r="AI67" i="4" s="1"/>
  <c r="AK67" i="4" s="1"/>
  <c r="F31" i="2"/>
  <c r="H31" i="2" s="1"/>
  <c r="I31" i="2" s="1"/>
  <c r="AI22" i="4" l="1"/>
  <c r="AK22" i="4" s="1"/>
  <c r="AI163" i="4"/>
  <c r="AK163" i="4" s="1"/>
  <c r="E41" i="2"/>
  <c r="AI138" i="4"/>
  <c r="AK138" i="4" s="1"/>
  <c r="AI181" i="4"/>
  <c r="AK181" i="4" s="1"/>
  <c r="B46" i="5"/>
  <c r="A47" i="5"/>
  <c r="N30" i="5"/>
  <c r="O29" i="5"/>
  <c r="AI206" i="4"/>
  <c r="G40" i="2"/>
  <c r="G42" i="2"/>
  <c r="E39" i="2"/>
  <c r="AI205" i="4"/>
  <c r="AK205" i="4" s="1"/>
  <c r="AI189" i="4"/>
  <c r="AK189" i="4" s="1"/>
  <c r="AI180" i="4"/>
  <c r="AK180" i="4" s="1"/>
  <c r="D53" i="3"/>
  <c r="D57" i="3"/>
  <c r="C57" i="3"/>
  <c r="C53" i="3"/>
  <c r="AI188" i="4"/>
  <c r="AK188" i="4" s="1"/>
  <c r="AI133" i="4"/>
  <c r="AK133" i="4" s="1"/>
  <c r="AI257" i="4"/>
  <c r="AK257" i="4" s="1"/>
  <c r="AI65" i="4"/>
  <c r="AK65" i="4" s="1"/>
  <c r="AI89" i="4"/>
  <c r="AK89" i="4" s="1"/>
  <c r="AI162" i="4"/>
  <c r="AK162" i="4" s="1"/>
  <c r="AI16" i="4"/>
  <c r="AK16" i="4" s="1"/>
  <c r="AI258" i="4"/>
  <c r="AK258" i="4" s="1"/>
  <c r="AI209" i="4"/>
  <c r="AK209" i="4" s="1"/>
  <c r="AI117" i="4"/>
  <c r="AK117" i="4" s="1"/>
  <c r="AI45" i="4"/>
  <c r="AK45" i="4" s="1"/>
  <c r="AI17" i="4"/>
  <c r="AK17" i="4" s="1"/>
  <c r="AI116" i="4"/>
  <c r="AK116" i="4" s="1"/>
  <c r="AI41" i="4"/>
  <c r="AK41" i="4" s="1"/>
  <c r="AI21" i="4"/>
  <c r="AK21" i="4" s="1"/>
  <c r="AI15" i="4"/>
  <c r="AK15" i="4" s="1"/>
  <c r="AI64" i="4"/>
  <c r="AK64" i="4" s="1"/>
  <c r="C21" i="3"/>
  <c r="E21" i="3" s="1"/>
  <c r="D21" i="3"/>
  <c r="F21" i="3" s="1"/>
  <c r="F43" i="3"/>
  <c r="E43" i="3"/>
  <c r="G39" i="2"/>
  <c r="G41" i="2"/>
  <c r="E42" i="2"/>
  <c r="AI92" i="4"/>
  <c r="AK92" i="4" s="1"/>
  <c r="AI42" i="4"/>
  <c r="AK42" i="4" s="1"/>
  <c r="AI134" i="4"/>
  <c r="AK134" i="4" s="1"/>
  <c r="D16" i="5"/>
  <c r="E15" i="5"/>
  <c r="AI18" i="4"/>
  <c r="AK18" i="4" s="1"/>
  <c r="B7" i="5"/>
  <c r="A8" i="5"/>
  <c r="L49" i="5"/>
  <c r="K50" i="5"/>
  <c r="AI112" i="4"/>
  <c r="AK112" i="4" s="1"/>
  <c r="G24" i="5"/>
  <c r="H23" i="5"/>
  <c r="K10" i="5"/>
  <c r="L10" i="5" s="1"/>
  <c r="J11" i="5"/>
  <c r="AI142" i="4"/>
  <c r="AK142" i="4" s="1"/>
  <c r="AI40" i="4"/>
  <c r="AK40" i="4" s="1"/>
  <c r="AI20" i="4"/>
  <c r="AK20" i="4" s="1"/>
  <c r="AI156" i="4"/>
  <c r="AK156" i="4" s="1"/>
  <c r="C47" i="5"/>
  <c r="D46" i="5"/>
  <c r="AI46" i="4"/>
  <c r="AK46" i="4" s="1"/>
  <c r="AF267" i="4"/>
  <c r="AG4" i="4"/>
  <c r="AP4" i="4" s="1"/>
  <c r="AO4" i="4" s="1"/>
  <c r="AI4" i="4" s="1"/>
  <c r="AK4" i="4" s="1"/>
  <c r="AI207" i="4"/>
  <c r="AK207" i="4" s="1"/>
  <c r="AI44" i="4"/>
  <c r="AK44" i="4" s="1"/>
  <c r="D34" i="5"/>
  <c r="E33" i="5"/>
  <c r="AI255" i="4"/>
  <c r="AK255" i="4" s="1"/>
  <c r="AI118" i="4"/>
  <c r="AK118" i="4" s="1"/>
  <c r="I48" i="5"/>
  <c r="J47" i="5"/>
  <c r="G8" i="5"/>
  <c r="H7" i="5"/>
  <c r="E25" i="5"/>
  <c r="D26" i="5"/>
  <c r="N8" i="5"/>
  <c r="O7" i="5"/>
  <c r="P7" i="5" s="1"/>
  <c r="AI39" i="4"/>
  <c r="AK39" i="4" s="1"/>
  <c r="AI184" i="4"/>
  <c r="AK184" i="4" s="1"/>
  <c r="AI164" i="4"/>
  <c r="AK164" i="4" s="1"/>
  <c r="AI208" i="4"/>
  <c r="AK208" i="4" s="1"/>
  <c r="E40" i="2"/>
  <c r="C52" i="3"/>
  <c r="C54" i="3" s="1"/>
  <c r="AI61" i="4"/>
  <c r="AK61" i="4" s="1"/>
  <c r="D52" i="3"/>
  <c r="D54" i="3" s="1"/>
  <c r="AI157" i="4"/>
  <c r="AK157" i="4" s="1"/>
  <c r="N31" i="5" l="1"/>
  <c r="O30" i="5"/>
  <c r="A48" i="5"/>
  <c r="B47" i="5"/>
  <c r="C55" i="3"/>
  <c r="C22" i="3" s="1"/>
  <c r="E22" i="3" s="1"/>
  <c r="D55" i="3"/>
  <c r="D22" i="3" s="1"/>
  <c r="F22" i="3" s="1"/>
  <c r="E52" i="3"/>
  <c r="E54" i="3" s="1"/>
  <c r="E57" i="3"/>
  <c r="E53" i="3"/>
  <c r="F52" i="3"/>
  <c r="F54" i="3" s="1"/>
  <c r="F57" i="3"/>
  <c r="F53" i="3"/>
  <c r="AK267" i="4"/>
  <c r="P4" i="4" s="1"/>
  <c r="C48" i="5"/>
  <c r="D47" i="5"/>
  <c r="D17" i="5"/>
  <c r="E16" i="5"/>
  <c r="E26" i="5"/>
  <c r="D27" i="5"/>
  <c r="L50" i="5"/>
  <c r="K51" i="5"/>
  <c r="AG267" i="4"/>
  <c r="L4" i="4"/>
  <c r="J48" i="5"/>
  <c r="I49" i="5"/>
  <c r="G25" i="5"/>
  <c r="H24" i="5"/>
  <c r="O8" i="5"/>
  <c r="P8" i="5" s="1"/>
  <c r="N9" i="5"/>
  <c r="B8" i="5"/>
  <c r="A9" i="5"/>
  <c r="G9" i="5"/>
  <c r="H8" i="5"/>
  <c r="E34" i="5"/>
  <c r="D35" i="5"/>
  <c r="J12" i="5"/>
  <c r="K11" i="5"/>
  <c r="L11" i="5" s="1"/>
  <c r="E55" i="3" l="1"/>
  <c r="E59" i="3" s="1"/>
  <c r="E61" i="3" s="1"/>
  <c r="E63" i="3" s="1"/>
  <c r="E64" i="3" s="1"/>
  <c r="E65" i="3" s="1"/>
  <c r="C36" i="3" s="1"/>
  <c r="E36" i="3" s="1"/>
  <c r="A49" i="5"/>
  <c r="B48" i="5"/>
  <c r="N32" i="5"/>
  <c r="O31" i="5"/>
  <c r="F55" i="3"/>
  <c r="D59" i="3"/>
  <c r="D61" i="3" s="1"/>
  <c r="D63" i="3" s="1"/>
  <c r="D64" i="3" s="1"/>
  <c r="D65" i="3" s="1"/>
  <c r="D23" i="3" s="1"/>
  <c r="F23" i="3" s="1"/>
  <c r="C59" i="3"/>
  <c r="C61" i="3" s="1"/>
  <c r="C63" i="3" s="1"/>
  <c r="C64" i="3" s="1"/>
  <c r="C65" i="3" s="1"/>
  <c r="C23" i="3" s="1"/>
  <c r="E23" i="3" s="1"/>
  <c r="G10" i="5"/>
  <c r="H9" i="5"/>
  <c r="E27" i="5"/>
  <c r="D28" i="5"/>
  <c r="B9" i="5"/>
  <c r="A10" i="5"/>
  <c r="J13" i="5"/>
  <c r="K12" i="5"/>
  <c r="L12" i="5" s="1"/>
  <c r="N10" i="5"/>
  <c r="O9" i="5"/>
  <c r="P9" i="5" s="1"/>
  <c r="D18" i="5"/>
  <c r="E17" i="5"/>
  <c r="D36" i="5"/>
  <c r="E35" i="5"/>
  <c r="D48" i="5"/>
  <c r="C49" i="5"/>
  <c r="G26" i="5"/>
  <c r="H25" i="5"/>
  <c r="L51" i="5"/>
  <c r="K52" i="5"/>
  <c r="J49" i="5"/>
  <c r="I50" i="5"/>
  <c r="C35" i="3" l="1"/>
  <c r="E35" i="3" s="1"/>
  <c r="N33" i="5"/>
  <c r="O32" i="5"/>
  <c r="A50" i="5"/>
  <c r="B49" i="5"/>
  <c r="F59" i="3"/>
  <c r="F61" i="3" s="1"/>
  <c r="F63" i="3" s="1"/>
  <c r="F64" i="3" s="1"/>
  <c r="F65" i="3" s="1"/>
  <c r="D36" i="3" s="1"/>
  <c r="F36" i="3" s="1"/>
  <c r="D35" i="3"/>
  <c r="F35" i="3" s="1"/>
  <c r="G27" i="5"/>
  <c r="H26" i="5"/>
  <c r="D19" i="5"/>
  <c r="E18" i="5"/>
  <c r="C50" i="5"/>
  <c r="D49" i="5"/>
  <c r="E28" i="5"/>
  <c r="D29" i="5"/>
  <c r="E29" i="5" s="1"/>
  <c r="N11" i="5"/>
  <c r="O10" i="5"/>
  <c r="P10" i="5" s="1"/>
  <c r="J50" i="5"/>
  <c r="I51" i="5"/>
  <c r="K13" i="5"/>
  <c r="L13" i="5" s="1"/>
  <c r="J14" i="5"/>
  <c r="L52" i="5"/>
  <c r="K53" i="5"/>
  <c r="A11" i="5"/>
  <c r="B10" i="5"/>
  <c r="E36" i="5"/>
  <c r="D37" i="5"/>
  <c r="H10" i="5"/>
  <c r="G11" i="5"/>
  <c r="A51" i="5" l="1"/>
  <c r="B50" i="5"/>
  <c r="O33" i="5"/>
  <c r="N34" i="5"/>
  <c r="D50" i="5"/>
  <c r="C51" i="5"/>
  <c r="D38" i="5"/>
  <c r="E37" i="5"/>
  <c r="J51" i="5"/>
  <c r="I52" i="5"/>
  <c r="B11" i="5"/>
  <c r="A12" i="5"/>
  <c r="N12" i="5"/>
  <c r="O11" i="5"/>
  <c r="P11" i="5" s="1"/>
  <c r="D20" i="5"/>
  <c r="E20" i="5" s="1"/>
  <c r="E19" i="5"/>
  <c r="L53" i="5"/>
  <c r="K54" i="5"/>
  <c r="G28" i="5"/>
  <c r="H27" i="5"/>
  <c r="H11" i="5"/>
  <c r="G12" i="5"/>
  <c r="J15" i="5"/>
  <c r="K14" i="5"/>
  <c r="L14" i="5" s="1"/>
  <c r="N35" i="5" l="1"/>
  <c r="O35" i="5" s="1"/>
  <c r="O34" i="5"/>
  <c r="A52" i="5"/>
  <c r="B51" i="5"/>
  <c r="J52" i="5"/>
  <c r="I53" i="5"/>
  <c r="J16" i="5"/>
  <c r="K15" i="5"/>
  <c r="L15" i="5" s="1"/>
  <c r="G13" i="5"/>
  <c r="H12" i="5"/>
  <c r="O12" i="5"/>
  <c r="P12" i="5" s="1"/>
  <c r="N13" i="5"/>
  <c r="D39" i="5"/>
  <c r="E39" i="5" s="1"/>
  <c r="E38" i="5"/>
  <c r="B12" i="5"/>
  <c r="A13" i="5"/>
  <c r="C52" i="5"/>
  <c r="D51" i="5"/>
  <c r="H28" i="5"/>
  <c r="G29" i="5"/>
  <c r="K55" i="5"/>
  <c r="L54" i="5"/>
  <c r="A53" i="5" l="1"/>
  <c r="B53" i="5" s="1"/>
  <c r="B52" i="5"/>
  <c r="D52" i="5"/>
  <c r="C53" i="5"/>
  <c r="D53" i="5" s="1"/>
  <c r="G14" i="5"/>
  <c r="H13" i="5"/>
  <c r="A14" i="5"/>
  <c r="B13" i="5"/>
  <c r="J17" i="5"/>
  <c r="K16" i="5"/>
  <c r="L16" i="5" s="1"/>
  <c r="J53" i="5"/>
  <c r="I54" i="5"/>
  <c r="L55" i="5"/>
  <c r="K56" i="5"/>
  <c r="G30" i="5"/>
  <c r="H29" i="5"/>
  <c r="O13" i="5"/>
  <c r="P13" i="5" s="1"/>
  <c r="N14" i="5"/>
  <c r="J18" i="5" l="1"/>
  <c r="K17" i="5"/>
  <c r="L17" i="5" s="1"/>
  <c r="G31" i="5"/>
  <c r="H30" i="5"/>
  <c r="A15" i="5"/>
  <c r="B14" i="5"/>
  <c r="K57" i="5"/>
  <c r="L56" i="5"/>
  <c r="H14" i="5"/>
  <c r="G15" i="5"/>
  <c r="I55" i="5"/>
  <c r="J54" i="5"/>
  <c r="O14" i="5"/>
  <c r="P14" i="5" s="1"/>
  <c r="N15" i="5"/>
  <c r="L57" i="5" l="1"/>
  <c r="K58" i="5"/>
  <c r="O15" i="5"/>
  <c r="P15" i="5" s="1"/>
  <c r="N16" i="5"/>
  <c r="B15" i="5"/>
  <c r="A16" i="5"/>
  <c r="J55" i="5"/>
  <c r="I56" i="5"/>
  <c r="H31" i="5"/>
  <c r="G32" i="5"/>
  <c r="H15" i="5"/>
  <c r="G16" i="5"/>
  <c r="H16" i="5" s="1"/>
  <c r="J19" i="5"/>
  <c r="K18" i="5"/>
  <c r="L18" i="5" s="1"/>
  <c r="J56" i="5" l="1"/>
  <c r="I57" i="5"/>
  <c r="A17" i="5"/>
  <c r="B16" i="5"/>
  <c r="O16" i="5"/>
  <c r="P16" i="5" s="1"/>
  <c r="N17" i="5"/>
  <c r="H32" i="5"/>
  <c r="G33" i="5"/>
  <c r="K59" i="5"/>
  <c r="L59" i="5" s="1"/>
  <c r="L58" i="5"/>
  <c r="J20" i="5"/>
  <c r="K19" i="5"/>
  <c r="L19" i="5" s="1"/>
  <c r="J21" i="5" l="1"/>
  <c r="K20" i="5"/>
  <c r="L20" i="5" s="1"/>
  <c r="J57" i="5"/>
  <c r="I58" i="5"/>
  <c r="G34" i="5"/>
  <c r="H33" i="5"/>
  <c r="N18" i="5"/>
  <c r="O17" i="5"/>
  <c r="P17" i="5" s="1"/>
  <c r="B17" i="5"/>
  <c r="A18" i="5"/>
  <c r="O18" i="5" l="1"/>
  <c r="P18" i="5" s="1"/>
  <c r="N19" i="5"/>
  <c r="H34" i="5"/>
  <c r="G35" i="5"/>
  <c r="A19" i="5"/>
  <c r="B18" i="5"/>
  <c r="I59" i="5"/>
  <c r="J59" i="5" s="1"/>
  <c r="J58" i="5"/>
  <c r="J22" i="5"/>
  <c r="K21" i="5"/>
  <c r="L21" i="5" s="1"/>
  <c r="N20" i="5" l="1"/>
  <c r="O19" i="5"/>
  <c r="P19" i="5" s="1"/>
  <c r="A20" i="5"/>
  <c r="B19" i="5"/>
  <c r="G36" i="5"/>
  <c r="H35" i="5"/>
  <c r="J23" i="5"/>
  <c r="K22" i="5"/>
  <c r="L22" i="5" s="1"/>
  <c r="K23" i="5" l="1"/>
  <c r="L23" i="5" s="1"/>
  <c r="J24" i="5"/>
  <c r="G37" i="5"/>
  <c r="H36" i="5"/>
  <c r="A21" i="5"/>
  <c r="B20" i="5"/>
  <c r="N21" i="5"/>
  <c r="O20" i="5"/>
  <c r="P20" i="5" s="1"/>
  <c r="G38" i="5" l="1"/>
  <c r="H37" i="5"/>
  <c r="J25" i="5"/>
  <c r="K24" i="5"/>
  <c r="L24" i="5" s="1"/>
  <c r="O21" i="5"/>
  <c r="P21" i="5" s="1"/>
  <c r="N22" i="5"/>
  <c r="O22" i="5" s="1"/>
  <c r="P22" i="5" s="1"/>
  <c r="B21" i="5"/>
  <c r="A22" i="5"/>
  <c r="B22" i="5" l="1"/>
  <c r="A23" i="5"/>
  <c r="K25" i="5"/>
  <c r="L25" i="5" s="1"/>
  <c r="J26" i="5"/>
  <c r="G39" i="5"/>
  <c r="H39" i="5" s="1"/>
  <c r="H38" i="5"/>
  <c r="J27" i="5" l="1"/>
  <c r="K26" i="5"/>
  <c r="L26" i="5" s="1"/>
  <c r="B23" i="5"/>
  <c r="A24" i="5"/>
  <c r="B24" i="5" l="1"/>
  <c r="A25" i="5"/>
  <c r="J28" i="5"/>
  <c r="K27" i="5"/>
  <c r="L27" i="5" s="1"/>
  <c r="J29" i="5" l="1"/>
  <c r="K28" i="5"/>
  <c r="L28" i="5" s="1"/>
  <c r="B25" i="5"/>
  <c r="A26" i="5"/>
  <c r="A27" i="5" l="1"/>
  <c r="B26" i="5"/>
  <c r="J30" i="5"/>
  <c r="K29" i="5"/>
  <c r="L29" i="5" s="1"/>
  <c r="J31" i="5" l="1"/>
  <c r="K30" i="5"/>
  <c r="L30" i="5" s="1"/>
  <c r="B27" i="5"/>
  <c r="A28" i="5"/>
  <c r="B28" i="5" l="1"/>
  <c r="A29" i="5"/>
  <c r="J32" i="5"/>
  <c r="K31" i="5"/>
  <c r="L31" i="5" s="1"/>
  <c r="J33" i="5" l="1"/>
  <c r="K32" i="5"/>
  <c r="L32" i="5" s="1"/>
  <c r="A30" i="5"/>
  <c r="B29" i="5"/>
  <c r="B30" i="5" l="1"/>
  <c r="A31" i="5"/>
  <c r="K33" i="5"/>
  <c r="L33" i="5" s="1"/>
  <c r="J34" i="5"/>
  <c r="K34" i="5" l="1"/>
  <c r="L34" i="5" s="1"/>
  <c r="J35" i="5"/>
  <c r="A32" i="5"/>
  <c r="B31" i="5"/>
  <c r="A33" i="5" l="1"/>
  <c r="B32" i="5"/>
  <c r="J36" i="5"/>
  <c r="K35" i="5"/>
  <c r="L35" i="5" s="1"/>
  <c r="J37" i="5" l="1"/>
  <c r="K36" i="5"/>
  <c r="L36" i="5" s="1"/>
  <c r="B33" i="5"/>
  <c r="A34" i="5"/>
  <c r="A35" i="5" l="1"/>
  <c r="B34" i="5"/>
  <c r="K37" i="5"/>
  <c r="L37" i="5" s="1"/>
  <c r="J38" i="5"/>
  <c r="J39" i="5" l="1"/>
  <c r="K39" i="5" s="1"/>
  <c r="L39" i="5" s="1"/>
  <c r="K38" i="5"/>
  <c r="L38" i="5" s="1"/>
  <c r="B35" i="5"/>
  <c r="A36" i="5"/>
  <c r="B36" i="5" l="1"/>
  <c r="A37" i="5"/>
  <c r="A38" i="5" l="1"/>
  <c r="B37" i="5"/>
  <c r="B38" i="5" l="1"/>
  <c r="A39" i="5"/>
  <c r="B39" i="5" s="1"/>
</calcChain>
</file>

<file path=xl/sharedStrings.xml><?xml version="1.0" encoding="utf-8"?>
<sst xmlns="http://schemas.openxmlformats.org/spreadsheetml/2006/main" count="323" uniqueCount="217">
  <si>
    <t>Ceiling</t>
  </si>
  <si>
    <t>The University of Georgia Department of Poultry Science - Michael Czarick (mczarick@uga.edu)</t>
  </si>
  <si>
    <t>End walls</t>
  </si>
  <si>
    <t xml:space="preserve">This spreadsheet calculates the minimum tunnel fan capacity required to insure the air exchange rate is high enough that </t>
  </si>
  <si>
    <t xml:space="preserve">under the conditions inputted that there will be no more than a 5 F temperature difference between the tunnel inlet and </t>
  </si>
  <si>
    <t>Curtains</t>
  </si>
  <si>
    <t>Lower side walls</t>
  </si>
  <si>
    <t>House length</t>
  </si>
  <si>
    <t>House width</t>
  </si>
  <si>
    <t>Total side wall height</t>
  </si>
  <si>
    <t>Lights</t>
  </si>
  <si>
    <t>Peak ceiling height</t>
  </si>
  <si>
    <t>Birds</t>
  </si>
  <si>
    <t>Open or Dropped ceiling (o/d)</t>
  </si>
  <si>
    <t>Total</t>
  </si>
  <si>
    <t>Total side wall</t>
  </si>
  <si>
    <t>Number of birds</t>
  </si>
  <si>
    <t>Bird weight (lbs)</t>
  </si>
  <si>
    <t>Heat production per pound</t>
  </si>
  <si>
    <t xml:space="preserve">Total poultry house heat load = </t>
  </si>
  <si>
    <t>Curtain height</t>
  </si>
  <si>
    <t>Stem/foundation wall height</t>
  </si>
  <si>
    <t>Number of light bulbs</t>
  </si>
  <si>
    <t>Light bulb wattage</t>
  </si>
  <si>
    <t>House surface insulation values (hr/btu*ft2*F)</t>
  </si>
  <si>
    <t>Cfm per square foot of floor space =</t>
  </si>
  <si>
    <t>Cfm per bird =</t>
  </si>
  <si>
    <t>Enter green values in all sections (don't enter "$" or  "," )</t>
  </si>
  <si>
    <t>Energy Eff.</t>
  </si>
  <si>
    <t>Pressure</t>
  </si>
  <si>
    <t>Input poultry house information</t>
  </si>
  <si>
    <t>Rating</t>
  </si>
  <si>
    <t>House length=</t>
  </si>
  <si>
    <t>Electricty rate ($ per kw*hr) =</t>
  </si>
  <si>
    <t>House width=</t>
  </si>
  <si>
    <t>Estimated yearly operating hours =</t>
  </si>
  <si>
    <t>Side wall height=</t>
  </si>
  <si>
    <t>Minimum design air velocity =</t>
  </si>
  <si>
    <t>Ceiling peak height=</t>
  </si>
  <si>
    <t>Minimum tunnel fan capacity (cfm/ft2) =</t>
  </si>
  <si>
    <t>Total minimum tunnel fan capacity (cfm) =</t>
  </si>
  <si>
    <t xml:space="preserve"> </t>
  </si>
  <si>
    <t>cfm for velocity</t>
  </si>
  <si>
    <t>velocity check</t>
  </si>
  <si>
    <t>Tunnel fan information</t>
  </si>
  <si>
    <t>Tunnel Fan Model</t>
  </si>
  <si>
    <t>Air Flow (0.05")</t>
  </si>
  <si>
    <t>Air Flow (0.10")</t>
  </si>
  <si>
    <t>Air Flow (0.15")</t>
  </si>
  <si>
    <t>Air Flow(0.20")</t>
  </si>
  <si>
    <t>Energy Efficiency</t>
  </si>
  <si>
    <t>Air Flow Ratio</t>
  </si>
  <si>
    <t>Price of Fan</t>
  </si>
  <si>
    <t>cfm/watt @ 0.10"</t>
  </si>
  <si>
    <t>(calculated)</t>
  </si>
  <si>
    <t>($)</t>
  </si>
  <si>
    <t>Tunnel fans required</t>
  </si>
  <si>
    <t>Design static</t>
  </si>
  <si>
    <t>Tunnel Fan</t>
  </si>
  <si>
    <t>Number of fans</t>
  </si>
  <si>
    <t xml:space="preserve">Total air moving capacity </t>
  </si>
  <si>
    <t>Total fan operating</t>
  </si>
  <si>
    <t>Average air speed</t>
  </si>
  <si>
    <t>pressure</t>
  </si>
  <si>
    <t>capacity</t>
  </si>
  <si>
    <t>required *</t>
  </si>
  <si>
    <t>at design static pressure</t>
  </si>
  <si>
    <t>cost (yearly) *</t>
  </si>
  <si>
    <t>(all fans operating)</t>
  </si>
  <si>
    <t>Total fan cost</t>
  </si>
  <si>
    <t>Five Year</t>
  </si>
  <si>
    <t>Ten Year</t>
  </si>
  <si>
    <t>Electricity cost</t>
  </si>
  <si>
    <t>Total cost</t>
  </si>
  <si>
    <t>Enter green values in all sections</t>
  </si>
  <si>
    <t>Outside temperature (F)</t>
  </si>
  <si>
    <t>Outside relative humidity (%)</t>
  </si>
  <si>
    <t xml:space="preserve">Minimimum recommended pad area </t>
  </si>
  <si>
    <t>Evaporative cooling efficiency</t>
  </si>
  <si>
    <t>Incoming air temperature</t>
  </si>
  <si>
    <t>Incoming Rh</t>
  </si>
  <si>
    <t>Pad water usage</t>
  </si>
  <si>
    <t>Inside temp</t>
  </si>
  <si>
    <t>inside temp c</t>
  </si>
  <si>
    <t>Outside temperature</t>
  </si>
  <si>
    <t>Outside relative humidity</t>
  </si>
  <si>
    <t>Outside C</t>
  </si>
  <si>
    <t>Outside Rh</t>
  </si>
  <si>
    <t>Wet bulb (F)</t>
  </si>
  <si>
    <t>wet bulb C</t>
  </si>
  <si>
    <t>pw outside</t>
  </si>
  <si>
    <t>pw inside</t>
  </si>
  <si>
    <t>ES (inside)</t>
  </si>
  <si>
    <t>Difference</t>
  </si>
  <si>
    <t>Six Inch Evaporative Cooling Pad Set Temperature Simulator</t>
  </si>
  <si>
    <t>Day</t>
  </si>
  <si>
    <t>Hour</t>
  </si>
  <si>
    <t>TIME</t>
  </si>
  <si>
    <t>Outside T</t>
  </si>
  <si>
    <t>outside C</t>
  </si>
  <si>
    <t>wet bulb</t>
  </si>
  <si>
    <t>wetbulb c</t>
  </si>
  <si>
    <t>incoming pads on</t>
  </si>
  <si>
    <t>inside t</t>
  </si>
  <si>
    <t>air temp with thermostat</t>
  </si>
  <si>
    <t>check</t>
  </si>
  <si>
    <t>Incoming air temp</t>
  </si>
  <si>
    <t>incoming air temp c</t>
  </si>
  <si>
    <t>pad on temp</t>
  </si>
  <si>
    <t>House Rh if pad is on</t>
  </si>
  <si>
    <t>Rh if pad is off</t>
  </si>
  <si>
    <t>house rh</t>
  </si>
  <si>
    <t>w inside</t>
  </si>
  <si>
    <t>ESWB</t>
  </si>
  <si>
    <t>wsinside</t>
  </si>
  <si>
    <t>ES Inside</t>
  </si>
  <si>
    <t>Enter pad set temperature</t>
  </si>
  <si>
    <t>Pad set temperature</t>
  </si>
  <si>
    <t>Avg. house temp</t>
  </si>
  <si>
    <t>Avg. House Rh</t>
  </si>
  <si>
    <t>.</t>
  </si>
  <si>
    <t>Temperature</t>
  </si>
  <si>
    <t>Length</t>
  </si>
  <si>
    <t>Bird Density</t>
  </si>
  <si>
    <t>Flow</t>
  </si>
  <si>
    <t>Velocity</t>
  </si>
  <si>
    <t>English</t>
  </si>
  <si>
    <t>Metric</t>
  </si>
  <si>
    <t>C=(F-32)*.56</t>
  </si>
  <si>
    <t>1 foot = .302 meters</t>
  </si>
  <si>
    <t>(ft2/bird)</t>
  </si>
  <si>
    <t>(birds/m2)</t>
  </si>
  <si>
    <t>Insulation Values</t>
  </si>
  <si>
    <t>Weight</t>
  </si>
  <si>
    <t>Energy</t>
  </si>
  <si>
    <t>Upper side walls</t>
  </si>
  <si>
    <t>Foundation</t>
  </si>
  <si>
    <t>Wall Delta T</t>
  </si>
  <si>
    <t>Ceiling Delta t</t>
  </si>
  <si>
    <t>ft2</t>
  </si>
  <si>
    <t>ft3</t>
  </si>
  <si>
    <t>ft4</t>
  </si>
  <si>
    <t>ft5</t>
  </si>
  <si>
    <t>ft6</t>
  </si>
  <si>
    <t>ft7</t>
  </si>
  <si>
    <t>F</t>
  </si>
  <si>
    <t>btu/s/hr</t>
  </si>
  <si>
    <t>exhaust fan end of the house.  Additional tunnel fan capacity may be required to obtain adequate bird cooling/wind chill effect</t>
  </si>
  <si>
    <t>Pad height (ft)</t>
  </si>
  <si>
    <t>Total pad length</t>
  </si>
  <si>
    <t>Total pad area</t>
  </si>
  <si>
    <t>Pad velocity</t>
  </si>
  <si>
    <t>Tunnel fan capacity (cfm)</t>
  </si>
  <si>
    <t>Design pad velocity (ft/min)</t>
  </si>
  <si>
    <t>Cooling efficiency</t>
  </si>
  <si>
    <t>Desired pad height (ft)</t>
  </si>
  <si>
    <t>Desired total pad length (ft)</t>
  </si>
  <si>
    <t>Pad static pressure</t>
  </si>
  <si>
    <t>Design Conditions:</t>
  </si>
  <si>
    <t>System Performance:</t>
  </si>
  <si>
    <t>Wet bulb / pad temperature</t>
  </si>
  <si>
    <t>Modify Pad Area?</t>
  </si>
  <si>
    <t>W</t>
  </si>
  <si>
    <t>Ws</t>
  </si>
  <si>
    <t>RH (inside)</t>
  </si>
  <si>
    <t>pws outside</t>
  </si>
  <si>
    <t>pws inside</t>
  </si>
  <si>
    <t>A inside</t>
  </si>
  <si>
    <t>A outside</t>
  </si>
  <si>
    <t>A outside english</t>
  </si>
  <si>
    <t>A inside english</t>
  </si>
  <si>
    <t>gallons per minute</t>
  </si>
  <si>
    <t>Average air speed =</t>
  </si>
  <si>
    <t>Average air speed  =</t>
  </si>
  <si>
    <t>Minimum tunnel fan capacity =</t>
  </si>
  <si>
    <t>Results:</t>
  </si>
  <si>
    <t>Approximate number of tunnel fans =</t>
  </si>
  <si>
    <t>(enter "0" for blank values)</t>
  </si>
  <si>
    <t>10 cm</t>
  </si>
  <si>
    <t>15 cm</t>
  </si>
  <si>
    <t>Number of side inlets required</t>
  </si>
  <si>
    <t>4" Pad (45 X 45)</t>
  </si>
  <si>
    <t>6" Pad (45 X 15)</t>
  </si>
  <si>
    <t xml:space="preserve">Total side wall inlet area </t>
  </si>
  <si>
    <t>Total pad length (5' tall pad)</t>
  </si>
  <si>
    <t>Total pad length (6' tall pad)</t>
  </si>
  <si>
    <t>Evaportive Cooling Pad System Design 2018</t>
  </si>
  <si>
    <t>d</t>
  </si>
  <si>
    <t>Inside temperature (F)</t>
  </si>
  <si>
    <t>Approximate air moving capacity of tunnel fans (cfm)</t>
  </si>
  <si>
    <t>Ceiling R-value</t>
  </si>
  <si>
    <t>End wall R-value</t>
  </si>
  <si>
    <t>Approximate number of tunnel fans required =</t>
  </si>
  <si>
    <t>Temperature difference from tunnel inlet end to fan end =</t>
  </si>
  <si>
    <t>Pounds per square foot</t>
  </si>
  <si>
    <t>Only green values can be modified</t>
  </si>
  <si>
    <t>Do you want to display equivalent metric values (yes = 1, no = 0)?</t>
  </si>
  <si>
    <t>Required evaporative cooling pad area</t>
  </si>
  <si>
    <t>Change tunnel fan capacity from minimum?</t>
  </si>
  <si>
    <t>Tunnel fan capacity (cfm) =</t>
  </si>
  <si>
    <t>Tunnel-Ventilated Broiler House Fan Comparison 2018</t>
  </si>
  <si>
    <t>Do you want to display equivalent metric input values (yes = 1, no = 0)?</t>
  </si>
  <si>
    <t xml:space="preserve">name </t>
  </si>
  <si>
    <t>Btu's/hr per square foot</t>
  </si>
  <si>
    <t>2018 UGA Tunnel-Ventilated Poultry House Heat Gain Analysis (v1.2)</t>
  </si>
  <si>
    <t>Design conditions:</t>
  </si>
  <si>
    <t>Basic house information:</t>
  </si>
  <si>
    <t>Bird information:</t>
  </si>
  <si>
    <r>
      <rPr>
        <b/>
        <sz val="22"/>
        <color theme="1"/>
        <rFont val="Arial"/>
        <family val="2"/>
      </rPr>
      <t>Side wall construction</t>
    </r>
    <r>
      <rPr>
        <b/>
        <sz val="2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>(For houses without curtains and/or foundations, lower sidewalls, etc enter "0" for height)</t>
    </r>
  </si>
  <si>
    <t>Lighting:</t>
  </si>
  <si>
    <t>Tunnel fan information:</t>
  </si>
  <si>
    <r>
      <rPr>
        <sz val="20"/>
        <rFont val="Arial"/>
        <family val="2"/>
      </rPr>
      <t>"Attic" temperature (F)</t>
    </r>
    <r>
      <rPr>
        <sz val="18"/>
        <rFont val="Arial"/>
        <family val="2"/>
      </rPr>
      <t xml:space="preserve"> </t>
    </r>
    <r>
      <rPr>
        <sz val="14"/>
        <rFont val="Arial"/>
        <family val="2"/>
      </rPr>
      <t>(Open ceiling = 150, Dropped ceiling = 135)</t>
    </r>
  </si>
  <si>
    <r>
      <t xml:space="preserve">Desired side wall inlet capacity </t>
    </r>
    <r>
      <rPr>
        <sz val="16"/>
        <rFont val="Arial"/>
        <family val="2"/>
      </rPr>
      <t>(40 to 60 % of minimum tunnel fan capacity)</t>
    </r>
  </si>
  <si>
    <r>
      <rPr>
        <b/>
        <sz val="22"/>
        <color theme="1"/>
        <rFont val="Arial"/>
        <family val="2"/>
      </rPr>
      <t>Estimated pad area</t>
    </r>
    <r>
      <rPr>
        <b/>
        <sz val="20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(1 ft2 per 350 cfm of modified tunnel fan capacity)</t>
    </r>
  </si>
  <si>
    <r>
      <rPr>
        <b/>
        <sz val="22"/>
        <color theme="1"/>
        <rFont val="Arial"/>
        <family val="2"/>
      </rPr>
      <t>Side wall inlet system design</t>
    </r>
    <r>
      <rPr>
        <b/>
        <sz val="20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(1 ft2 per 750 cfm of min. tunnel fan capacity)</t>
    </r>
  </si>
  <si>
    <t>Side wall opening height (inches)</t>
  </si>
  <si>
    <t>Side wall opening length (inches)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</si>
</sst>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164" formatCode="0.0"/>
    <numFmt numFmtId="165" formatCode="#,###\ &quot;Btu's/hr&quot;"/>
    <numFmt numFmtId="166" formatCode="#,##0.0"/>
    <numFmt numFmtId="167" formatCode="&quot;$&quot;#,##0.00"/>
    <numFmt numFmtId="168" formatCode="&quot;$&quot;#,##0"/>
    <numFmt numFmtId="169" formatCode="#,##0\ &quot;cfm&quot;"/>
    <numFmt numFmtId="170" formatCode="#,##0\ &quot;ft/min&quot;"/>
    <numFmt numFmtId="171" formatCode="#0.0\ \F"/>
    <numFmt numFmtId="172" formatCode="#\ &quot;ft&quot;"/>
    <numFmt numFmtId="173" formatCode="#.#\ &quot;gals/min&quot;"/>
    <numFmt numFmtId="174" formatCode="#\ &quot;ft^2&quot;"/>
    <numFmt numFmtId="175" formatCode="&quot;$&quot;#,##0;[Red]&quot;$&quot;#,##0"/>
    <numFmt numFmtId="176" formatCode="[$$-409]#,##0_);[Red]\([$$-409]#,##0\)"/>
    <numFmt numFmtId="177" formatCode="0.0000"/>
    <numFmt numFmtId="178" formatCode="#,###\ &quot;sq. ft.&quot;"/>
    <numFmt numFmtId="179" formatCode="##\ &quot;%&quot;"/>
    <numFmt numFmtId="180" formatCode="0.0\ &quot;gals/min&quot;"/>
    <numFmt numFmtId="181" formatCode="#.#\ \F"/>
    <numFmt numFmtId="182" formatCode="#\ &quot;%&quot;"/>
    <numFmt numFmtId="183" formatCode="##.#\ &quot;gal/min&quot;"/>
    <numFmt numFmtId="184" formatCode="[$-409]m/d/yy\ h:mm\ AM/PM;@"/>
    <numFmt numFmtId="185" formatCode="0\ &quot;cfm&quot;"/>
    <numFmt numFmtId="186" formatCode="0.0\ &quot;cmh&quot;"/>
    <numFmt numFmtId="187" formatCode="0.00000\ &quot;cms&quot;"/>
    <numFmt numFmtId="188" formatCode="0\ &quot;ft/min&quot;"/>
    <numFmt numFmtId="189" formatCode="0.000\ &quot;m/sec&quot;"/>
    <numFmt numFmtId="190" formatCode="0.000\ &quot;km/hr&quot;"/>
    <numFmt numFmtId="191" formatCode="0\ &quot;F&quot;"/>
    <numFmt numFmtId="192" formatCode="0.0\ &quot;C&quot;"/>
    <numFmt numFmtId="193" formatCode="0\ &quot;in&quot;"/>
    <numFmt numFmtId="194" formatCode="0.00\ &quot;cm&quot;"/>
    <numFmt numFmtId="195" formatCode="0\ &quot;ft&quot;"/>
    <numFmt numFmtId="196" formatCode="0.0\ &quot;m&quot;"/>
    <numFmt numFmtId="197" formatCode="0\ &quot;F*ft2/Btus/hr&quot;"/>
    <numFmt numFmtId="198" formatCode="0.00\ &quot;m2*C/Watts&quot;"/>
    <numFmt numFmtId="199" formatCode="0.00\ "/>
    <numFmt numFmtId="200" formatCode="0\ &quot;gal/min&quot;"/>
    <numFmt numFmtId="201" formatCode="0.00\ &quot;liters/min&quot;"/>
    <numFmt numFmtId="202" formatCode="0.00\ &quot;lbs&quot;"/>
    <numFmt numFmtId="203" formatCode="0.00\ &quot;kgs&quot;"/>
    <numFmt numFmtId="204" formatCode="0\ &quot;lbs&quot;"/>
    <numFmt numFmtId="205" formatCode="0.0\ &quot;kgs&quot;"/>
    <numFmt numFmtId="206" formatCode="0\ &quot;Btu's/hr&quot;"/>
    <numFmt numFmtId="207" formatCode="0.00\ &quot;Watts&quot;"/>
    <numFmt numFmtId="208" formatCode="0.00\ &quot;in&quot;"/>
    <numFmt numFmtId="209" formatCode="0.00\ &quot;Pa&quot;"/>
    <numFmt numFmtId="210" formatCode="#,###\ &quot;ft.&quot;"/>
    <numFmt numFmtId="211" formatCode="0.0\ &quot;F&quot;"/>
    <numFmt numFmtId="212" formatCode="#.0\ &quot;gals/min&quot;"/>
    <numFmt numFmtId="213" formatCode="0.000"/>
    <numFmt numFmtId="214" formatCode="0.00000"/>
    <numFmt numFmtId="215" formatCode="0.0\ \F"/>
    <numFmt numFmtId="216" formatCode="#,##0\ &quot;cmh&quot;"/>
    <numFmt numFmtId="217" formatCode="#,##0.0\ &quot;m/sec&quot;"/>
    <numFmt numFmtId="218" formatCode="0.0\ \C"/>
    <numFmt numFmtId="219" formatCode="0.0\ &quot;m2&quot;"/>
    <numFmt numFmtId="220" formatCode="0.0\ &quot;l/min&quot;"/>
    <numFmt numFmtId="221" formatCode="#.#\ \C"/>
    <numFmt numFmtId="222" formatCode="#.#\ &quot;m&quot;"/>
    <numFmt numFmtId="223" formatCode="0.0\ &quot;kg&quot;"/>
    <numFmt numFmtId="224" formatCode="0\ &quot;Pa&quot;"/>
    <numFmt numFmtId="225" formatCode="0\ &quot;ft2&quot;"/>
    <numFmt numFmtId="226" formatCode="0\ &quot;cm&quot;"/>
    <numFmt numFmtId="227" formatCode="#,###.#\ &quot;m3/hr per bird&quot;"/>
    <numFmt numFmtId="228" formatCode="0.0\ &quot;Watts/kg&quot;"/>
    <numFmt numFmtId="229" formatCode="0.00\ &quot;m&quot;"/>
    <numFmt numFmtId="230" formatCode="0.00\ &quot;m/sec&quot;"/>
    <numFmt numFmtId="231" formatCode="#.00\ &quot;m&quot;"/>
    <numFmt numFmtId="232" formatCode="##.00&quot;m/sec&quot;"/>
    <numFmt numFmtId="233" formatCode="0,000\ &quot;Watts&quot;"/>
    <numFmt numFmtId="234" formatCode="0.0\ &quot;kg/m2&quot;"/>
    <numFmt numFmtId="235" formatCode="#.0\ \F"/>
    <numFmt numFmtId="236" formatCode="##&quot;%&quot;"/>
    <numFmt numFmtId="237" formatCode="0.0%"/>
    <numFmt numFmtId="238" formatCode="###.0\ &quot;m3/hr per bird&quot;"/>
    <numFmt numFmtId="239" formatCode="0.0\ &quot;m/sec&quot;"/>
    <numFmt numFmtId="240" formatCode="#\ &quot;cmh/m2&quot;"/>
    <numFmt numFmtId="241" formatCode="0\ &quot;m3/hr per m2&quot;"/>
    <numFmt numFmtId="242" formatCode="###\ &quot;watts per m2&quot;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6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rgb="FF00B0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20"/>
      <color rgb="FFFF0000"/>
      <name val="Arial"/>
      <family val="2"/>
    </font>
    <font>
      <sz val="14"/>
      <name val="Arial"/>
      <family val="2"/>
    </font>
    <font>
      <b/>
      <sz val="14"/>
      <color rgb="FF006600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i/>
      <sz val="3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20"/>
      <color indexed="17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i/>
      <sz val="18"/>
      <color rgb="FF00B050"/>
      <name val="Arial"/>
      <family val="2"/>
    </font>
    <font>
      <b/>
      <i/>
      <sz val="18"/>
      <color theme="0"/>
      <name val="Arial"/>
      <family val="2"/>
    </font>
    <font>
      <b/>
      <sz val="15"/>
      <name val="Arial"/>
      <family val="2"/>
    </font>
    <font>
      <b/>
      <i/>
      <sz val="14"/>
      <color indexed="50"/>
      <name val="Arial"/>
      <family val="2"/>
    </font>
    <font>
      <b/>
      <sz val="12"/>
      <color indexed="17"/>
      <name val="Arial"/>
      <family val="2"/>
    </font>
    <font>
      <b/>
      <i/>
      <sz val="12"/>
      <color indexed="50"/>
      <name val="Arial"/>
      <family val="2"/>
    </font>
    <font>
      <b/>
      <sz val="18"/>
      <color rgb="FF008000"/>
      <name val="Arial"/>
      <family val="2"/>
    </font>
    <font>
      <b/>
      <sz val="18"/>
      <color theme="1"/>
      <name val="Arial"/>
      <family val="2"/>
    </font>
    <font>
      <sz val="18"/>
      <color indexed="20"/>
      <name val="Arial"/>
      <family val="2"/>
    </font>
    <font>
      <sz val="10"/>
      <color indexed="17"/>
      <name val="Arial"/>
      <family val="2"/>
    </font>
    <font>
      <b/>
      <i/>
      <sz val="20"/>
      <color indexed="17"/>
      <name val="Arial"/>
      <family val="2"/>
    </font>
    <font>
      <b/>
      <i/>
      <sz val="14"/>
      <color indexed="12"/>
      <name val="Arial"/>
      <family val="2"/>
    </font>
    <font>
      <sz val="16"/>
      <name val="Arial"/>
      <family val="2"/>
    </font>
    <font>
      <b/>
      <sz val="16"/>
      <color indexed="17"/>
      <name val="Arial"/>
      <family val="2"/>
    </font>
    <font>
      <b/>
      <sz val="18"/>
      <color rgb="FF00B050"/>
      <name val="Arial"/>
      <family val="2"/>
    </font>
    <font>
      <b/>
      <sz val="26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9"/>
      <name val="Arial"/>
      <family val="2"/>
    </font>
    <font>
      <u/>
      <sz val="6"/>
      <color indexed="12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i/>
      <sz val="18"/>
      <name val="Arial"/>
      <family val="2"/>
    </font>
    <font>
      <sz val="18"/>
      <color theme="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i/>
      <sz val="20"/>
      <color indexed="12"/>
      <name val="Arial"/>
      <family val="2"/>
    </font>
    <font>
      <b/>
      <sz val="20"/>
      <color theme="0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0"/>
      <name val="Arial"/>
      <family val="2"/>
    </font>
    <font>
      <b/>
      <sz val="20"/>
      <color rgb="FF0000FF"/>
      <name val="Arial"/>
      <family val="2"/>
    </font>
    <font>
      <b/>
      <sz val="20"/>
      <color rgb="FF00B050"/>
      <name val="Arial"/>
      <family val="2"/>
    </font>
    <font>
      <b/>
      <i/>
      <sz val="28"/>
      <name val="Arial"/>
      <family val="2"/>
    </font>
    <font>
      <u/>
      <sz val="10"/>
      <color theme="10"/>
      <name val="Arial"/>
      <family val="2"/>
    </font>
    <font>
      <b/>
      <i/>
      <sz val="16"/>
      <color rgb="FF0000FF"/>
      <name val="Arial"/>
      <family val="2"/>
    </font>
    <font>
      <sz val="2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  <font>
      <sz val="20"/>
      <color rgb="FF00B050"/>
      <name val="Arial"/>
      <family val="2"/>
    </font>
    <font>
      <b/>
      <sz val="16"/>
      <color rgb="FF00B050"/>
      <name val="Arial"/>
      <family val="2"/>
    </font>
    <font>
      <b/>
      <i/>
      <sz val="20"/>
      <color rgb="FF008000"/>
      <name val="Arial"/>
      <family val="2"/>
    </font>
    <font>
      <b/>
      <i/>
      <sz val="20"/>
      <name val="Arial"/>
      <family val="2"/>
    </font>
    <font>
      <b/>
      <sz val="20"/>
      <color rgb="FF008000"/>
      <name val="Arial"/>
      <family val="2"/>
    </font>
    <font>
      <b/>
      <i/>
      <sz val="20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0" fillId="0" borderId="0" applyNumberFormat="0" applyFill="0" applyBorder="0" applyAlignment="0" applyProtection="0"/>
  </cellStyleXfs>
  <cellXfs count="513">
    <xf numFmtId="0" fontId="0" fillId="0" borderId="0" xfId="0"/>
    <xf numFmtId="0" fontId="2" fillId="0" borderId="0" xfId="1" applyAlignment="1">
      <alignment horizontal="center"/>
    </xf>
    <xf numFmtId="0" fontId="6" fillId="0" borderId="0" xfId="1" applyFont="1"/>
    <xf numFmtId="0" fontId="2" fillId="0" borderId="0" xfId="1"/>
    <xf numFmtId="0" fontId="8" fillId="0" borderId="0" xfId="1" applyFont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11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left"/>
      <protection locked="0"/>
    </xf>
    <xf numFmtId="0" fontId="15" fillId="0" borderId="0" xfId="1" applyFont="1"/>
    <xf numFmtId="0" fontId="15" fillId="0" borderId="0" xfId="1" applyFont="1" applyAlignment="1">
      <alignment horizontal="right"/>
    </xf>
    <xf numFmtId="0" fontId="16" fillId="0" borderId="0" xfId="1" applyFont="1" applyAlignment="1" applyProtection="1">
      <alignment horizontal="center"/>
      <protection locked="0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64" fontId="2" fillId="0" borderId="0" xfId="1" applyNumberFormat="1"/>
    <xf numFmtId="164" fontId="21" fillId="0" borderId="0" xfId="1" applyNumberFormat="1" applyFont="1" applyAlignment="1">
      <alignment horizontal="center"/>
    </xf>
    <xf numFmtId="0" fontId="21" fillId="0" borderId="0" xfId="1" applyFont="1"/>
    <xf numFmtId="9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1" fillId="0" borderId="0" xfId="0" applyFont="1"/>
    <xf numFmtId="0" fontId="24" fillId="0" borderId="0" xfId="0" applyFont="1"/>
    <xf numFmtId="3" fontId="25" fillId="0" borderId="13" xfId="0" applyNumberFormat="1" applyFont="1" applyBorder="1" applyAlignment="1">
      <alignment horizontal="left"/>
    </xf>
    <xf numFmtId="0" fontId="26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27" fillId="0" borderId="0" xfId="0" applyFont="1"/>
    <xf numFmtId="0" fontId="10" fillId="0" borderId="0" xfId="0" applyFont="1" applyAlignment="1">
      <alignment horizontal="center"/>
    </xf>
    <xf numFmtId="0" fontId="28" fillId="0" borderId="0" xfId="0" applyFont="1"/>
    <xf numFmtId="0" fontId="29" fillId="0" borderId="7" xfId="0" applyFont="1" applyBorder="1"/>
    <xf numFmtId="0" fontId="29" fillId="0" borderId="11" xfId="0" applyFont="1" applyBorder="1"/>
    <xf numFmtId="0" fontId="30" fillId="0" borderId="11" xfId="0" applyFont="1" applyBorder="1"/>
    <xf numFmtId="0" fontId="31" fillId="0" borderId="0" xfId="0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29" fillId="0" borderId="12" xfId="0" applyFont="1" applyBorder="1"/>
    <xf numFmtId="0" fontId="29" fillId="0" borderId="0" xfId="0" applyFont="1"/>
    <xf numFmtId="0" fontId="30" fillId="0" borderId="0" xfId="0" applyFont="1"/>
    <xf numFmtId="0" fontId="29" fillId="0" borderId="14" xfId="0" applyFont="1" applyBorder="1"/>
    <xf numFmtId="0" fontId="29" fillId="0" borderId="15" xfId="0" applyFont="1" applyBorder="1"/>
    <xf numFmtId="3" fontId="29" fillId="0" borderId="15" xfId="0" applyNumberFormat="1" applyFont="1" applyBorder="1" applyAlignment="1">
      <alignment horizontal="left" indent="2"/>
    </xf>
    <xf numFmtId="0" fontId="33" fillId="0" borderId="0" xfId="0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left" indent="2"/>
    </xf>
    <xf numFmtId="3" fontId="34" fillId="0" borderId="0" xfId="0" applyNumberFormat="1" applyFont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0" fontId="35" fillId="2" borderId="18" xfId="0" applyFont="1" applyFill="1" applyBorder="1" applyAlignment="1">
      <alignment horizontal="center"/>
    </xf>
    <xf numFmtId="0" fontId="37" fillId="0" borderId="0" xfId="0" applyFont="1"/>
    <xf numFmtId="0" fontId="31" fillId="0" borderId="0" xfId="0" applyFont="1"/>
    <xf numFmtId="3" fontId="29" fillId="0" borderId="19" xfId="0" applyNumberFormat="1" applyFont="1" applyBorder="1" applyAlignment="1">
      <alignment horizontal="center"/>
    </xf>
    <xf numFmtId="0" fontId="7" fillId="2" borderId="7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7" fillId="2" borderId="12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3" fontId="29" fillId="0" borderId="24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9" fillId="0" borderId="0" xfId="0" applyFont="1" applyAlignment="1" applyProtection="1">
      <alignment horizontal="center"/>
      <protection locked="0"/>
    </xf>
    <xf numFmtId="3" fontId="39" fillId="0" borderId="0" xfId="0" applyNumberFormat="1" applyFont="1" applyAlignment="1" applyProtection="1">
      <alignment horizontal="center"/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2" fontId="40" fillId="0" borderId="0" xfId="0" applyNumberFormat="1" applyFont="1" applyAlignment="1">
      <alignment horizontal="center"/>
    </xf>
    <xf numFmtId="168" fontId="39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9" fillId="0" borderId="0" xfId="0" applyFont="1"/>
    <xf numFmtId="0" fontId="7" fillId="2" borderId="31" xfId="0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32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168" fontId="29" fillId="0" borderId="0" xfId="0" applyNumberFormat="1" applyFont="1" applyAlignment="1">
      <alignment horizontal="center"/>
    </xf>
    <xf numFmtId="170" fontId="29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72" fontId="13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 horizontal="center"/>
    </xf>
    <xf numFmtId="0" fontId="42" fillId="0" borderId="0" xfId="0" applyFont="1"/>
    <xf numFmtId="0" fontId="2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5" fillId="2" borderId="17" xfId="0" applyFont="1" applyFill="1" applyBorder="1"/>
    <xf numFmtId="0" fontId="0" fillId="2" borderId="35" xfId="0" applyFill="1" applyBorder="1"/>
    <xf numFmtId="0" fontId="0" fillId="2" borderId="8" xfId="0" applyFill="1" applyBorder="1"/>
    <xf numFmtId="172" fontId="20" fillId="0" borderId="0" xfId="0" applyNumberFormat="1" applyFont="1" applyAlignment="1">
      <alignment horizontal="center"/>
    </xf>
    <xf numFmtId="173" fontId="20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74" fontId="7" fillId="2" borderId="32" xfId="0" applyNumberFormat="1" applyFont="1" applyFill="1" applyBorder="1" applyAlignment="1">
      <alignment horizontal="center"/>
    </xf>
    <xf numFmtId="174" fontId="7" fillId="2" borderId="36" xfId="0" applyNumberFormat="1" applyFont="1" applyFill="1" applyBorder="1" applyAlignment="1">
      <alignment horizontal="center"/>
    </xf>
    <xf numFmtId="174" fontId="7" fillId="2" borderId="16" xfId="0" applyNumberFormat="1" applyFont="1" applyFill="1" applyBorder="1" applyAlignment="1">
      <alignment horizontal="center"/>
    </xf>
    <xf numFmtId="0" fontId="3" fillId="0" borderId="0" xfId="0" applyFont="1"/>
    <xf numFmtId="0" fontId="45" fillId="0" borderId="0" xfId="0" applyFont="1"/>
    <xf numFmtId="177" fontId="2" fillId="0" borderId="0" xfId="0" applyNumberFormat="1" applyFont="1" applyAlignment="1">
      <alignment horizontal="center"/>
    </xf>
    <xf numFmtId="0" fontId="46" fillId="0" borderId="0" xfId="0" applyFont="1"/>
    <xf numFmtId="0" fontId="47" fillId="0" borderId="0" xfId="0" applyFont="1" applyAlignment="1" applyProtection="1">
      <alignment horizontal="center"/>
      <protection locked="0"/>
    </xf>
    <xf numFmtId="0" fontId="25" fillId="0" borderId="0" xfId="0" applyFont="1"/>
    <xf numFmtId="9" fontId="30" fillId="0" borderId="0" xfId="0" applyNumberFormat="1" applyFont="1"/>
    <xf numFmtId="9" fontId="30" fillId="0" borderId="0" xfId="0" applyNumberFormat="1" applyFont="1" applyAlignment="1">
      <alignment horizontal="center"/>
    </xf>
    <xf numFmtId="0" fontId="48" fillId="0" borderId="0" xfId="2" applyFont="1"/>
    <xf numFmtId="0" fontId="2" fillId="0" borderId="0" xfId="2"/>
    <xf numFmtId="0" fontId="49" fillId="0" borderId="0" xfId="2" applyFont="1"/>
    <xf numFmtId="0" fontId="6" fillId="0" borderId="0" xfId="3" applyFont="1"/>
    <xf numFmtId="0" fontId="46" fillId="0" borderId="0" xfId="2" applyFont="1"/>
    <xf numFmtId="164" fontId="2" fillId="0" borderId="0" xfId="2" applyNumberFormat="1"/>
    <xf numFmtId="0" fontId="7" fillId="0" borderId="0" xfId="2" applyFont="1"/>
    <xf numFmtId="0" fontId="47" fillId="0" borderId="0" xfId="2" applyFont="1"/>
    <xf numFmtId="0" fontId="7" fillId="0" borderId="0" xfId="2" applyFont="1" applyAlignment="1">
      <alignment horizontal="center"/>
    </xf>
    <xf numFmtId="164" fontId="50" fillId="0" borderId="0" xfId="2" applyNumberFormat="1" applyFont="1" applyAlignment="1">
      <alignment horizontal="center"/>
    </xf>
    <xf numFmtId="0" fontId="51" fillId="0" borderId="0" xfId="2" applyFont="1"/>
    <xf numFmtId="164" fontId="10" fillId="0" borderId="0" xfId="1" applyNumberFormat="1" applyFont="1" applyAlignment="1">
      <alignment horizontal="center"/>
    </xf>
    <xf numFmtId="0" fontId="10" fillId="0" borderId="0" xfId="1" applyFont="1"/>
    <xf numFmtId="0" fontId="10" fillId="0" borderId="1" xfId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1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10" fillId="0" borderId="41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2" fillId="0" borderId="8" xfId="1" applyBorder="1"/>
    <xf numFmtId="0" fontId="10" fillId="0" borderId="5" xfId="1" applyFont="1" applyBorder="1" applyAlignment="1">
      <alignment horizontal="left"/>
    </xf>
    <xf numFmtId="164" fontId="10" fillId="0" borderId="6" xfId="1" applyNumberFormat="1" applyFont="1" applyBorder="1" applyAlignment="1">
      <alignment horizontal="center"/>
    </xf>
    <xf numFmtId="0" fontId="2" fillId="0" borderId="6" xfId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185" fontId="10" fillId="0" borderId="5" xfId="1" applyNumberFormat="1" applyFont="1" applyBorder="1" applyAlignment="1">
      <alignment horizontal="right"/>
    </xf>
    <xf numFmtId="186" fontId="10" fillId="0" borderId="19" xfId="1" applyNumberFormat="1" applyFont="1" applyBorder="1" applyAlignment="1">
      <alignment horizontal="right"/>
    </xf>
    <xf numFmtId="187" fontId="10" fillId="0" borderId="6" xfId="1" applyNumberFormat="1" applyFont="1" applyBorder="1" applyAlignment="1">
      <alignment horizontal="center"/>
    </xf>
    <xf numFmtId="188" fontId="10" fillId="0" borderId="5" xfId="1" applyNumberFormat="1" applyFont="1" applyBorder="1" applyAlignment="1">
      <alignment horizontal="center"/>
    </xf>
    <xf numFmtId="189" fontId="10" fillId="0" borderId="37" xfId="1" applyNumberFormat="1" applyFont="1" applyBorder="1" applyAlignment="1">
      <alignment horizontal="center"/>
    </xf>
    <xf numFmtId="190" fontId="10" fillId="0" borderId="10" xfId="1" applyNumberFormat="1" applyFont="1" applyBorder="1"/>
    <xf numFmtId="191" fontId="10" fillId="0" borderId="5" xfId="1" applyNumberFormat="1" applyFont="1" applyBorder="1" applyAlignment="1">
      <alignment horizontal="center"/>
    </xf>
    <xf numFmtId="192" fontId="10" fillId="0" borderId="6" xfId="1" applyNumberFormat="1" applyFont="1" applyBorder="1" applyAlignment="1">
      <alignment horizontal="center"/>
    </xf>
    <xf numFmtId="193" fontId="10" fillId="0" borderId="5" xfId="1" applyNumberFormat="1" applyFont="1" applyBorder="1" applyAlignment="1">
      <alignment horizontal="center"/>
    </xf>
    <xf numFmtId="194" fontId="10" fillId="0" borderId="6" xfId="1" applyNumberFormat="1" applyFont="1" applyBorder="1" applyAlignment="1">
      <alignment horizontal="center"/>
    </xf>
    <xf numFmtId="2" fontId="10" fillId="0" borderId="5" xfId="1" applyNumberFormat="1" applyFont="1" applyBorder="1" applyAlignment="1">
      <alignment horizontal="center"/>
    </xf>
    <xf numFmtId="3" fontId="10" fillId="0" borderId="5" xfId="1" applyNumberFormat="1" applyFont="1" applyBorder="1" applyAlignment="1">
      <alignment horizontal="right"/>
    </xf>
    <xf numFmtId="164" fontId="10" fillId="0" borderId="19" xfId="1" applyNumberFormat="1" applyFont="1" applyBorder="1" applyAlignment="1">
      <alignment horizontal="right"/>
    </xf>
    <xf numFmtId="2" fontId="10" fillId="0" borderId="6" xfId="1" applyNumberFormat="1" applyFont="1" applyBorder="1" applyAlignment="1">
      <alignment horizontal="center"/>
    </xf>
    <xf numFmtId="2" fontId="10" fillId="0" borderId="19" xfId="1" applyNumberFormat="1" applyFont="1" applyBorder="1" applyAlignment="1">
      <alignment horizontal="center"/>
    </xf>
    <xf numFmtId="3" fontId="10" fillId="0" borderId="19" xfId="1" applyNumberFormat="1" applyFont="1" applyBorder="1" applyAlignment="1">
      <alignment horizontal="right"/>
    </xf>
    <xf numFmtId="195" fontId="10" fillId="0" borderId="5" xfId="1" applyNumberFormat="1" applyFont="1" applyBorder="1" applyAlignment="1">
      <alignment horizontal="center"/>
    </xf>
    <xf numFmtId="196" fontId="10" fillId="0" borderId="6" xfId="1" applyNumberFormat="1" applyFont="1" applyBorder="1" applyAlignment="1">
      <alignment horizontal="center"/>
    </xf>
    <xf numFmtId="2" fontId="10" fillId="0" borderId="3" xfId="1" applyNumberFormat="1" applyFont="1" applyBorder="1" applyAlignment="1">
      <alignment horizontal="center"/>
    </xf>
    <xf numFmtId="164" fontId="10" fillId="0" borderId="4" xfId="1" applyNumberFormat="1" applyFont="1" applyBorder="1" applyAlignment="1">
      <alignment horizontal="center"/>
    </xf>
    <xf numFmtId="197" fontId="10" fillId="0" borderId="5" xfId="1" applyNumberFormat="1" applyFont="1" applyBorder="1" applyAlignment="1">
      <alignment horizontal="center"/>
    </xf>
    <xf numFmtId="198" fontId="10" fillId="0" borderId="6" xfId="1" applyNumberFormat="1" applyFont="1" applyBorder="1" applyAlignment="1">
      <alignment horizontal="center"/>
    </xf>
    <xf numFmtId="199" fontId="10" fillId="0" borderId="6" xfId="1" applyNumberFormat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2" fontId="10" fillId="0" borderId="24" xfId="1" applyNumberFormat="1" applyFont="1" applyBorder="1" applyAlignment="1">
      <alignment horizontal="center"/>
    </xf>
    <xf numFmtId="2" fontId="10" fillId="0" borderId="4" xfId="1" applyNumberFormat="1" applyFont="1" applyBorder="1" applyAlignment="1">
      <alignment horizontal="center"/>
    </xf>
    <xf numFmtId="200" fontId="10" fillId="0" borderId="5" xfId="1" applyNumberFormat="1" applyFont="1" applyBorder="1" applyAlignment="1">
      <alignment horizontal="center"/>
    </xf>
    <xf numFmtId="201" fontId="10" fillId="0" borderId="6" xfId="1" applyNumberFormat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91" fontId="10" fillId="0" borderId="3" xfId="1" applyNumberFormat="1" applyFont="1" applyBorder="1" applyAlignment="1">
      <alignment horizontal="center"/>
    </xf>
    <xf numFmtId="192" fontId="10" fillId="0" borderId="4" xfId="1" applyNumberFormat="1" applyFont="1" applyBorder="1" applyAlignment="1">
      <alignment horizontal="center"/>
    </xf>
    <xf numFmtId="195" fontId="10" fillId="0" borderId="3" xfId="1" applyNumberFormat="1" applyFont="1" applyBorder="1" applyAlignment="1">
      <alignment horizontal="center"/>
    </xf>
    <xf numFmtId="196" fontId="10" fillId="0" borderId="4" xfId="1" applyNumberFormat="1" applyFont="1" applyBorder="1" applyAlignment="1">
      <alignment horizontal="center"/>
    </xf>
    <xf numFmtId="199" fontId="10" fillId="0" borderId="4" xfId="1" applyNumberFormat="1" applyFont="1" applyBorder="1" applyAlignment="1">
      <alignment horizontal="center"/>
    </xf>
    <xf numFmtId="3" fontId="10" fillId="0" borderId="3" xfId="1" applyNumberFormat="1" applyFont="1" applyBorder="1" applyAlignment="1">
      <alignment horizontal="right"/>
    </xf>
    <xf numFmtId="3" fontId="10" fillId="0" borderId="24" xfId="1" applyNumberFormat="1" applyFont="1" applyBorder="1" applyAlignment="1">
      <alignment horizontal="right"/>
    </xf>
    <xf numFmtId="202" fontId="10" fillId="0" borderId="1" xfId="1" applyNumberFormat="1" applyFont="1" applyBorder="1" applyAlignment="1">
      <alignment horizontal="center"/>
    </xf>
    <xf numFmtId="203" fontId="10" fillId="0" borderId="38" xfId="1" applyNumberFormat="1" applyFont="1" applyBorder="1" applyAlignment="1">
      <alignment horizontal="center"/>
    </xf>
    <xf numFmtId="204" fontId="10" fillId="0" borderId="1" xfId="1" applyNumberFormat="1" applyFont="1" applyBorder="1" applyAlignment="1">
      <alignment horizontal="center"/>
    </xf>
    <xf numFmtId="205" fontId="10" fillId="0" borderId="2" xfId="1" applyNumberFormat="1" applyFont="1" applyBorder="1" applyAlignment="1">
      <alignment horizontal="center"/>
    </xf>
    <xf numFmtId="206" fontId="10" fillId="0" borderId="1" xfId="1" applyNumberFormat="1" applyFont="1" applyBorder="1" applyAlignment="1">
      <alignment horizontal="center"/>
    </xf>
    <xf numFmtId="207" fontId="10" fillId="0" borderId="2" xfId="1" applyNumberFormat="1" applyFont="1" applyBorder="1" applyAlignment="1">
      <alignment horizontal="center"/>
    </xf>
    <xf numFmtId="208" fontId="10" fillId="0" borderId="1" xfId="1" applyNumberFormat="1" applyFont="1" applyBorder="1" applyAlignment="1">
      <alignment horizontal="center"/>
    </xf>
    <xf numFmtId="209" fontId="10" fillId="0" borderId="25" xfId="1" applyNumberFormat="1" applyFont="1" applyBorder="1" applyAlignment="1">
      <alignment horizontal="center"/>
    </xf>
    <xf numFmtId="208" fontId="10" fillId="0" borderId="25" xfId="1" applyNumberFormat="1" applyFont="1" applyBorder="1" applyAlignment="1">
      <alignment horizontal="center"/>
    </xf>
    <xf numFmtId="209" fontId="10" fillId="0" borderId="2" xfId="1" applyNumberFormat="1" applyFont="1" applyBorder="1" applyAlignment="1">
      <alignment horizontal="center"/>
    </xf>
    <xf numFmtId="2" fontId="10" fillId="0" borderId="39" xfId="1" applyNumberFormat="1" applyFont="1" applyBorder="1" applyAlignment="1">
      <alignment horizontal="center"/>
    </xf>
    <xf numFmtId="164" fontId="10" fillId="0" borderId="19" xfId="1" applyNumberFormat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3" fontId="10" fillId="0" borderId="5" xfId="1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/>
    </xf>
    <xf numFmtId="3" fontId="10" fillId="0" borderId="3" xfId="1" applyNumberFormat="1" applyFont="1" applyBorder="1" applyAlignment="1">
      <alignment horizontal="center"/>
    </xf>
    <xf numFmtId="3" fontId="10" fillId="0" borderId="4" xfId="1" applyNumberFormat="1" applyFont="1" applyBorder="1" applyAlignment="1">
      <alignment horizontal="center"/>
    </xf>
    <xf numFmtId="2" fontId="10" fillId="0" borderId="40" xfId="1" applyNumberFormat="1" applyFont="1" applyBorder="1" applyAlignment="1">
      <alignment horizontal="center"/>
    </xf>
    <xf numFmtId="164" fontId="10" fillId="0" borderId="24" xfId="1" applyNumberFormat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173" fontId="30" fillId="0" borderId="0" xfId="0" applyNumberFormat="1" applyFont="1" applyAlignment="1">
      <alignment horizontal="center"/>
    </xf>
    <xf numFmtId="1" fontId="30" fillId="0" borderId="19" xfId="0" applyNumberFormat="1" applyFont="1" applyBorder="1" applyAlignment="1">
      <alignment horizontal="center"/>
    </xf>
    <xf numFmtId="179" fontId="30" fillId="0" borderId="19" xfId="0" applyNumberFormat="1" applyFont="1" applyBorder="1" applyAlignment="1">
      <alignment horizontal="center"/>
    </xf>
    <xf numFmtId="210" fontId="30" fillId="0" borderId="19" xfId="0" applyNumberFormat="1" applyFont="1" applyBorder="1" applyAlignment="1">
      <alignment horizontal="center"/>
    </xf>
    <xf numFmtId="9" fontId="30" fillId="0" borderId="19" xfId="0" applyNumberFormat="1" applyFont="1" applyBorder="1" applyAlignment="1">
      <alignment horizontal="center"/>
    </xf>
    <xf numFmtId="1" fontId="47" fillId="0" borderId="25" xfId="0" applyNumberFormat="1" applyFont="1" applyBorder="1" applyAlignment="1">
      <alignment horizontal="center"/>
    </xf>
    <xf numFmtId="180" fontId="30" fillId="0" borderId="0" xfId="0" applyNumberFormat="1" applyFont="1" applyAlignment="1">
      <alignment horizontal="center"/>
    </xf>
    <xf numFmtId="211" fontId="30" fillId="0" borderId="19" xfId="0" applyNumberFormat="1" applyFont="1" applyBorder="1" applyAlignment="1">
      <alignment horizontal="center"/>
    </xf>
    <xf numFmtId="212" fontId="30" fillId="0" borderId="24" xfId="0" applyNumberFormat="1" applyFont="1" applyBorder="1" applyAlignment="1">
      <alignment horizontal="center"/>
    </xf>
    <xf numFmtId="0" fontId="13" fillId="0" borderId="0" xfId="0" applyFont="1"/>
    <xf numFmtId="0" fontId="30" fillId="0" borderId="1" xfId="0" applyFont="1" applyBorder="1"/>
    <xf numFmtId="0" fontId="30" fillId="0" borderId="5" xfId="0" applyFont="1" applyBorder="1"/>
    <xf numFmtId="0" fontId="30" fillId="0" borderId="3" xfId="0" applyFont="1" applyBorder="1"/>
    <xf numFmtId="0" fontId="55" fillId="0" borderId="0" xfId="0" applyFont="1"/>
    <xf numFmtId="178" fontId="30" fillId="0" borderId="37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3" fillId="0" borderId="0" xfId="0" applyFont="1"/>
    <xf numFmtId="0" fontId="5" fillId="0" borderId="0" xfId="0" applyFont="1"/>
    <xf numFmtId="9" fontId="53" fillId="0" borderId="0" xfId="0" applyNumberFormat="1" applyFont="1"/>
    <xf numFmtId="9" fontId="54" fillId="0" borderId="0" xfId="0" applyNumberFormat="1" applyFont="1" applyAlignment="1">
      <alignment horizontal="center"/>
    </xf>
    <xf numFmtId="0" fontId="5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1" fillId="3" borderId="0" xfId="2" applyFont="1" applyFill="1"/>
    <xf numFmtId="0" fontId="21" fillId="0" borderId="0" xfId="2" applyFont="1"/>
    <xf numFmtId="0" fontId="5" fillId="0" borderId="0" xfId="2" applyFont="1"/>
    <xf numFmtId="0" fontId="45" fillId="0" borderId="0" xfId="1" applyFont="1" applyAlignment="1">
      <alignment horizontal="center"/>
    </xf>
    <xf numFmtId="0" fontId="45" fillId="0" borderId="0" xfId="1" applyFont="1"/>
    <xf numFmtId="0" fontId="45" fillId="0" borderId="0" xfId="1" applyFont="1" applyAlignment="1">
      <alignment horizontal="right"/>
    </xf>
    <xf numFmtId="0" fontId="30" fillId="0" borderId="0" xfId="1" applyFont="1" applyAlignment="1">
      <alignment horizontal="center"/>
    </xf>
    <xf numFmtId="0" fontId="30" fillId="0" borderId="0" xfId="1" applyFont="1"/>
    <xf numFmtId="0" fontId="30" fillId="0" borderId="0" xfId="1" applyFont="1" applyAlignment="1">
      <alignment horizontal="right"/>
    </xf>
    <xf numFmtId="0" fontId="2" fillId="0" borderId="0" xfId="0" applyFont="1"/>
    <xf numFmtId="2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54" fillId="0" borderId="0" xfId="0" applyFont="1"/>
    <xf numFmtId="0" fontId="54" fillId="0" borderId="0" xfId="0" applyFont="1" applyAlignment="1">
      <alignment horizontal="center"/>
    </xf>
    <xf numFmtId="0" fontId="54" fillId="0" borderId="0" xfId="0" applyFont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5" fillId="0" borderId="0" xfId="2" applyFont="1" applyAlignment="1">
      <alignment horizontal="center"/>
    </xf>
    <xf numFmtId="177" fontId="5" fillId="0" borderId="0" xfId="2" applyNumberFormat="1" applyFont="1" applyAlignment="1">
      <alignment horizontal="center"/>
    </xf>
    <xf numFmtId="0" fontId="5" fillId="3" borderId="0" xfId="2" applyFont="1" applyFill="1"/>
    <xf numFmtId="184" fontId="5" fillId="0" borderId="0" xfId="2" applyNumberFormat="1" applyFont="1" applyAlignment="1">
      <alignment horizontal="center"/>
    </xf>
    <xf numFmtId="2" fontId="56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center"/>
    </xf>
    <xf numFmtId="177" fontId="56" fillId="0" borderId="0" xfId="2" applyNumberFormat="1" applyFont="1" applyAlignment="1">
      <alignment horizontal="right"/>
    </xf>
    <xf numFmtId="0" fontId="62" fillId="0" borderId="0" xfId="0" applyFont="1"/>
    <xf numFmtId="173" fontId="63" fillId="0" borderId="0" xfId="0" applyNumberFormat="1" applyFont="1" applyAlignment="1">
      <alignment horizontal="center"/>
    </xf>
    <xf numFmtId="0" fontId="61" fillId="0" borderId="0" xfId="0" applyFont="1"/>
    <xf numFmtId="0" fontId="64" fillId="0" borderId="0" xfId="0" applyFont="1"/>
    <xf numFmtId="9" fontId="64" fillId="0" borderId="0" xfId="0" applyNumberFormat="1" applyFont="1"/>
    <xf numFmtId="9" fontId="65" fillId="0" borderId="0" xfId="0" applyNumberFormat="1" applyFont="1" applyAlignment="1">
      <alignment horizontal="center"/>
    </xf>
    <xf numFmtId="1" fontId="63" fillId="0" borderId="0" xfId="0" applyNumberFormat="1" applyFont="1" applyAlignment="1">
      <alignment horizontal="right"/>
    </xf>
    <xf numFmtId="2" fontId="63" fillId="0" borderId="0" xfId="0" applyNumberFormat="1" applyFont="1" applyAlignment="1">
      <alignment horizontal="right"/>
    </xf>
    <xf numFmtId="171" fontId="65" fillId="0" borderId="0" xfId="0" applyNumberFormat="1" applyFont="1" applyAlignment="1">
      <alignment horizontal="center"/>
    </xf>
    <xf numFmtId="177" fontId="63" fillId="0" borderId="0" xfId="0" applyNumberFormat="1" applyFont="1" applyAlignment="1">
      <alignment horizontal="right"/>
    </xf>
    <xf numFmtId="177" fontId="65" fillId="0" borderId="0" xfId="0" applyNumberFormat="1" applyFont="1" applyAlignment="1">
      <alignment horizontal="center"/>
    </xf>
    <xf numFmtId="181" fontId="65" fillId="0" borderId="0" xfId="0" applyNumberFormat="1" applyFont="1" applyAlignment="1">
      <alignment horizontal="center"/>
    </xf>
    <xf numFmtId="182" fontId="65" fillId="0" borderId="0" xfId="0" applyNumberFormat="1" applyFont="1" applyAlignment="1">
      <alignment horizontal="center"/>
    </xf>
    <xf numFmtId="183" fontId="65" fillId="0" borderId="0" xfId="0" applyNumberFormat="1" applyFont="1" applyAlignment="1">
      <alignment horizontal="center"/>
    </xf>
    <xf numFmtId="214" fontId="63" fillId="0" borderId="0" xfId="0" applyNumberFormat="1" applyFont="1" applyAlignment="1">
      <alignment horizontal="right"/>
    </xf>
    <xf numFmtId="0" fontId="66" fillId="0" borderId="0" xfId="0" applyFont="1"/>
    <xf numFmtId="173" fontId="56" fillId="0" borderId="0" xfId="0" applyNumberFormat="1" applyFont="1" applyAlignment="1">
      <alignment horizontal="center"/>
    </xf>
    <xf numFmtId="9" fontId="56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right"/>
    </xf>
    <xf numFmtId="2" fontId="56" fillId="0" borderId="0" xfId="0" applyNumberFormat="1" applyFont="1"/>
    <xf numFmtId="0" fontId="66" fillId="0" borderId="0" xfId="0" applyFont="1" applyProtection="1">
      <protection locked="0"/>
    </xf>
    <xf numFmtId="164" fontId="53" fillId="0" borderId="0" xfId="0" applyNumberFormat="1" applyFont="1" applyAlignment="1" applyProtection="1">
      <alignment horizontal="center"/>
      <protection locked="0"/>
    </xf>
    <xf numFmtId="164" fontId="53" fillId="0" borderId="0" xfId="0" applyNumberFormat="1" applyFont="1" applyAlignment="1">
      <alignment horizontal="center"/>
    </xf>
    <xf numFmtId="1" fontId="56" fillId="0" borderId="0" xfId="0" applyNumberFormat="1" applyFont="1"/>
    <xf numFmtId="213" fontId="56" fillId="0" borderId="0" xfId="0" applyNumberFormat="1" applyFont="1"/>
    <xf numFmtId="164" fontId="56" fillId="0" borderId="0" xfId="0" applyNumberFormat="1" applyFont="1"/>
    <xf numFmtId="171" fontId="54" fillId="0" borderId="0" xfId="0" applyNumberFormat="1" applyFont="1" applyAlignment="1">
      <alignment horizontal="center"/>
    </xf>
    <xf numFmtId="2" fontId="56" fillId="0" borderId="0" xfId="0" applyNumberFormat="1" applyFont="1" applyAlignment="1">
      <alignment horizontal="right"/>
    </xf>
    <xf numFmtId="214" fontId="56" fillId="0" borderId="0" xfId="0" applyNumberFormat="1" applyFont="1" applyAlignment="1">
      <alignment horizontal="right"/>
    </xf>
    <xf numFmtId="213" fontId="56" fillId="0" borderId="0" xfId="0" applyNumberFormat="1" applyFont="1" applyAlignment="1">
      <alignment horizontal="right"/>
    </xf>
    <xf numFmtId="177" fontId="56" fillId="0" borderId="0" xfId="0" applyNumberFormat="1" applyFont="1" applyAlignment="1">
      <alignment horizontal="right"/>
    </xf>
    <xf numFmtId="0" fontId="7" fillId="0" borderId="0" xfId="1" applyFont="1"/>
    <xf numFmtId="0" fontId="69" fillId="0" borderId="0" xfId="1" applyFont="1" applyAlignment="1">
      <alignment horizontal="left"/>
    </xf>
    <xf numFmtId="0" fontId="7" fillId="0" borderId="0" xfId="1" applyFont="1" applyAlignment="1" applyProtection="1">
      <alignment horizontal="center"/>
      <protection locked="0"/>
    </xf>
    <xf numFmtId="180" fontId="30" fillId="0" borderId="19" xfId="0" applyNumberFormat="1" applyFont="1" applyBorder="1" applyAlignment="1">
      <alignment horizontal="center"/>
    </xf>
    <xf numFmtId="0" fontId="30" fillId="0" borderId="19" xfId="0" applyFont="1" applyBorder="1"/>
    <xf numFmtId="178" fontId="30" fillId="0" borderId="19" xfId="0" applyNumberFormat="1" applyFont="1" applyBorder="1" applyAlignment="1">
      <alignment horizontal="center"/>
    </xf>
    <xf numFmtId="219" fontId="30" fillId="0" borderId="19" xfId="0" applyNumberFormat="1" applyFont="1" applyBorder="1" applyAlignment="1">
      <alignment horizontal="center"/>
    </xf>
    <xf numFmtId="196" fontId="30" fillId="0" borderId="19" xfId="0" applyNumberFormat="1" applyFont="1" applyBorder="1" applyAlignment="1">
      <alignment horizontal="center"/>
    </xf>
    <xf numFmtId="208" fontId="30" fillId="0" borderId="19" xfId="0" applyNumberFormat="1" applyFont="1" applyBorder="1" applyAlignment="1">
      <alignment horizontal="center"/>
    </xf>
    <xf numFmtId="224" fontId="30" fillId="0" borderId="19" xfId="0" applyNumberFormat="1" applyFont="1" applyBorder="1" applyAlignment="1">
      <alignment horizontal="center"/>
    </xf>
    <xf numFmtId="192" fontId="30" fillId="0" borderId="19" xfId="0" applyNumberFormat="1" applyFont="1" applyBorder="1" applyAlignment="1">
      <alignment horizontal="center"/>
    </xf>
    <xf numFmtId="220" fontId="30" fillId="0" borderId="19" xfId="0" applyNumberFormat="1" applyFont="1" applyBorder="1" applyAlignment="1">
      <alignment horizontal="center"/>
    </xf>
    <xf numFmtId="1" fontId="47" fillId="0" borderId="19" xfId="0" applyNumberFormat="1" applyFont="1" applyBorder="1" applyAlignment="1">
      <alignment horizontal="center"/>
    </xf>
    <xf numFmtId="216" fontId="30" fillId="0" borderId="2" xfId="0" applyNumberFormat="1" applyFont="1" applyBorder="1" applyAlignment="1" applyProtection="1">
      <alignment horizontal="center"/>
      <protection locked="0"/>
    </xf>
    <xf numFmtId="221" fontId="30" fillId="0" borderId="6" xfId="0" applyNumberFormat="1" applyFont="1" applyBorder="1" applyAlignment="1">
      <alignment horizontal="center"/>
    </xf>
    <xf numFmtId="0" fontId="30" fillId="0" borderId="37" xfId="0" applyFont="1" applyBorder="1"/>
    <xf numFmtId="219" fontId="30" fillId="0" borderId="37" xfId="0" applyNumberFormat="1" applyFont="1" applyBorder="1" applyAlignment="1">
      <alignment horizontal="center"/>
    </xf>
    <xf numFmtId="0" fontId="13" fillId="0" borderId="24" xfId="0" applyFont="1" applyBorder="1" applyAlignment="1" applyProtection="1">
      <alignment horizontal="center"/>
      <protection locked="0"/>
    </xf>
    <xf numFmtId="196" fontId="30" fillId="0" borderId="25" xfId="0" applyNumberFormat="1" applyFont="1" applyBorder="1" applyAlignment="1">
      <alignment horizontal="center"/>
    </xf>
    <xf numFmtId="196" fontId="30" fillId="0" borderId="2" xfId="0" applyNumberFormat="1" applyFont="1" applyBorder="1" applyAlignment="1">
      <alignment horizontal="center"/>
    </xf>
    <xf numFmtId="196" fontId="30" fillId="0" borderId="6" xfId="0" applyNumberFormat="1" applyFont="1" applyBorder="1" applyAlignment="1">
      <alignment horizontal="center"/>
    </xf>
    <xf numFmtId="219" fontId="30" fillId="0" borderId="6" xfId="0" applyNumberFormat="1" applyFont="1" applyBorder="1" applyAlignment="1">
      <alignment horizontal="center"/>
    </xf>
    <xf numFmtId="224" fontId="30" fillId="0" borderId="6" xfId="0" applyNumberFormat="1" applyFont="1" applyBorder="1" applyAlignment="1">
      <alignment horizontal="center"/>
    </xf>
    <xf numFmtId="9" fontId="30" fillId="0" borderId="6" xfId="0" applyNumberFormat="1" applyFont="1" applyBorder="1" applyAlignment="1">
      <alignment horizontal="center"/>
    </xf>
    <xf numFmtId="192" fontId="30" fillId="0" borderId="6" xfId="0" applyNumberFormat="1" applyFont="1" applyBorder="1" applyAlignment="1">
      <alignment horizontal="center"/>
    </xf>
    <xf numFmtId="179" fontId="30" fillId="0" borderId="6" xfId="0" applyNumberFormat="1" applyFont="1" applyBorder="1" applyAlignment="1">
      <alignment horizontal="center"/>
    </xf>
    <xf numFmtId="220" fontId="30" fillId="0" borderId="24" xfId="0" applyNumberFormat="1" applyFont="1" applyBorder="1" applyAlignment="1">
      <alignment horizontal="center"/>
    </xf>
    <xf numFmtId="220" fontId="30" fillId="0" borderId="4" xfId="0" applyNumberFormat="1" applyFont="1" applyBorder="1" applyAlignment="1">
      <alignment horizontal="center"/>
    </xf>
    <xf numFmtId="0" fontId="55" fillId="0" borderId="42" xfId="0" applyFont="1" applyBorder="1"/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217" fontId="71" fillId="0" borderId="0" xfId="1" applyNumberFormat="1" applyFont="1" applyAlignment="1">
      <alignment horizontal="center"/>
    </xf>
    <xf numFmtId="164" fontId="58" fillId="0" borderId="0" xfId="1" applyNumberFormat="1" applyFont="1"/>
    <xf numFmtId="164" fontId="72" fillId="0" borderId="0" xfId="1" applyNumberFormat="1" applyFont="1" applyAlignment="1">
      <alignment horizontal="center"/>
    </xf>
    <xf numFmtId="0" fontId="9" fillId="0" borderId="0" xfId="1" applyFont="1" applyAlignment="1">
      <alignment horizontal="right"/>
    </xf>
    <xf numFmtId="164" fontId="40" fillId="0" borderId="0" xfId="1" applyNumberFormat="1" applyFont="1" applyAlignment="1" applyProtection="1">
      <alignment horizontal="center"/>
      <protection locked="0"/>
    </xf>
    <xf numFmtId="0" fontId="40" fillId="0" borderId="0" xfId="1" applyFont="1" applyAlignment="1">
      <alignment horizontal="center"/>
    </xf>
    <xf numFmtId="1" fontId="67" fillId="0" borderId="4" xfId="1" applyNumberFormat="1" applyFont="1" applyBorder="1" applyAlignment="1">
      <alignment horizontal="center"/>
    </xf>
    <xf numFmtId="0" fontId="19" fillId="0" borderId="0" xfId="1" applyFont="1"/>
    <xf numFmtId="0" fontId="39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2" fillId="0" borderId="0" xfId="1" applyAlignment="1">
      <alignment horizontal="right"/>
    </xf>
    <xf numFmtId="0" fontId="18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9" fontId="18" fillId="0" borderId="0" xfId="1" applyNumberFormat="1" applyFont="1" applyAlignment="1">
      <alignment horizontal="right"/>
    </xf>
    <xf numFmtId="9" fontId="7" fillId="0" borderId="0" xfId="1" applyNumberFormat="1" applyFont="1" applyAlignment="1">
      <alignment horizontal="right"/>
    </xf>
    <xf numFmtId="1" fontId="39" fillId="0" borderId="38" xfId="0" applyNumberFormat="1" applyFont="1" applyBorder="1" applyAlignment="1" applyProtection="1">
      <alignment horizontal="center"/>
      <protection locked="0"/>
    </xf>
    <xf numFmtId="1" fontId="39" fillId="0" borderId="39" xfId="0" applyNumberFormat="1" applyFont="1" applyBorder="1" applyAlignment="1" applyProtection="1">
      <alignment horizontal="center"/>
      <protection locked="0"/>
    </xf>
    <xf numFmtId="0" fontId="39" fillId="0" borderId="40" xfId="0" applyFont="1" applyBorder="1" applyAlignment="1" applyProtection="1">
      <alignment horizontal="center"/>
      <protection locked="0"/>
    </xf>
    <xf numFmtId="1" fontId="30" fillId="0" borderId="6" xfId="0" applyNumberFormat="1" applyFont="1" applyBorder="1" applyAlignment="1">
      <alignment horizontal="center"/>
    </xf>
    <xf numFmtId="231" fontId="30" fillId="0" borderId="4" xfId="0" applyNumberFormat="1" applyFont="1" applyBorder="1" applyAlignment="1">
      <alignment horizontal="center"/>
    </xf>
    <xf numFmtId="232" fontId="30" fillId="0" borderId="24" xfId="0" applyNumberFormat="1" applyFont="1" applyBorder="1" applyAlignment="1">
      <alignment horizontal="center"/>
    </xf>
    <xf numFmtId="232" fontId="30" fillId="0" borderId="4" xfId="0" applyNumberFormat="1" applyFont="1" applyBorder="1" applyAlignment="1">
      <alignment horizontal="center"/>
    </xf>
    <xf numFmtId="230" fontId="30" fillId="0" borderId="19" xfId="0" applyNumberFormat="1" applyFont="1" applyBorder="1" applyAlignment="1">
      <alignment horizontal="center"/>
    </xf>
    <xf numFmtId="230" fontId="30" fillId="0" borderId="6" xfId="0" applyNumberFormat="1" applyFont="1" applyBorder="1" applyAlignment="1">
      <alignment horizontal="center"/>
    </xf>
    <xf numFmtId="0" fontId="53" fillId="0" borderId="0" xfId="1" applyFont="1" applyAlignment="1">
      <alignment horizontal="center"/>
    </xf>
    <xf numFmtId="166" fontId="53" fillId="0" borderId="0" xfId="1" applyNumberFormat="1" applyFont="1" applyAlignment="1">
      <alignment horizontal="center"/>
    </xf>
    <xf numFmtId="0" fontId="53" fillId="0" borderId="0" xfId="1" applyFont="1"/>
    <xf numFmtId="0" fontId="5" fillId="0" borderId="0" xfId="1" applyFont="1"/>
    <xf numFmtId="0" fontId="54" fillId="0" borderId="0" xfId="1" applyFont="1" applyAlignment="1">
      <alignment horizontal="center"/>
    </xf>
    <xf numFmtId="0" fontId="73" fillId="0" borderId="0" xfId="1" applyFont="1"/>
    <xf numFmtId="0" fontId="73" fillId="0" borderId="0" xfId="1" applyFont="1" applyAlignment="1">
      <alignment horizontal="center"/>
    </xf>
    <xf numFmtId="0" fontId="74" fillId="0" borderId="0" xfId="1" applyFont="1"/>
    <xf numFmtId="0" fontId="74" fillId="0" borderId="0" xfId="1" applyFont="1" applyAlignment="1">
      <alignment horizontal="center"/>
    </xf>
    <xf numFmtId="0" fontId="22" fillId="0" borderId="0" xfId="1" applyFont="1"/>
    <xf numFmtId="0" fontId="75" fillId="0" borderId="0" xfId="1" applyFont="1" applyAlignment="1">
      <alignment horizontal="center"/>
    </xf>
    <xf numFmtId="0" fontId="75" fillId="0" borderId="0" xfId="1" applyFont="1"/>
    <xf numFmtId="0" fontId="17" fillId="0" borderId="0" xfId="1" applyFont="1" applyAlignment="1">
      <alignment horizontal="center"/>
    </xf>
    <xf numFmtId="9" fontId="76" fillId="0" borderId="0" xfId="1" applyNumberFormat="1" applyFont="1" applyAlignment="1">
      <alignment horizontal="center"/>
    </xf>
    <xf numFmtId="0" fontId="77" fillId="0" borderId="0" xfId="1" applyFont="1" applyAlignment="1">
      <alignment horizontal="center"/>
    </xf>
    <xf numFmtId="3" fontId="78" fillId="0" borderId="0" xfId="1" applyNumberFormat="1" applyFont="1" applyAlignment="1">
      <alignment horizontal="center"/>
    </xf>
    <xf numFmtId="165" fontId="14" fillId="0" borderId="0" xfId="1" applyNumberFormat="1" applyFont="1" applyAlignment="1">
      <alignment horizontal="center"/>
    </xf>
    <xf numFmtId="0" fontId="9" fillId="0" borderId="19" xfId="1" applyFont="1" applyBorder="1" applyAlignment="1">
      <alignment horizontal="center"/>
    </xf>
    <xf numFmtId="0" fontId="58" fillId="0" borderId="19" xfId="1" applyFont="1" applyBorder="1" applyAlignment="1">
      <alignment horizontal="center"/>
    </xf>
    <xf numFmtId="164" fontId="21" fillId="0" borderId="19" xfId="1" applyNumberFormat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58" fillId="0" borderId="24" xfId="1" applyFont="1" applyBorder="1" applyAlignment="1">
      <alignment horizontal="center"/>
    </xf>
    <xf numFmtId="164" fontId="21" fillId="0" borderId="25" xfId="1" applyNumberFormat="1" applyFont="1" applyBorder="1" applyAlignment="1">
      <alignment horizontal="center"/>
    </xf>
    <xf numFmtId="0" fontId="28" fillId="0" borderId="0" xfId="1" applyFont="1" applyAlignment="1">
      <alignment horizontal="center"/>
    </xf>
    <xf numFmtId="0" fontId="58" fillId="0" borderId="0" xfId="1" applyFont="1" applyAlignment="1">
      <alignment horizontal="right"/>
    </xf>
    <xf numFmtId="237" fontId="14" fillId="0" borderId="0" xfId="1" applyNumberFormat="1" applyFont="1" applyAlignment="1">
      <alignment horizontal="center"/>
    </xf>
    <xf numFmtId="0" fontId="58" fillId="0" borderId="0" xfId="1" applyFont="1" applyAlignment="1">
      <alignment horizontal="center"/>
    </xf>
    <xf numFmtId="165" fontId="14" fillId="0" borderId="15" xfId="1" applyNumberFormat="1" applyFont="1" applyBorder="1" applyAlignment="1">
      <alignment horizontal="center"/>
    </xf>
    <xf numFmtId="0" fontId="47" fillId="0" borderId="0" xfId="1" applyFont="1" applyAlignment="1" applyProtection="1">
      <alignment horizontal="center"/>
      <protection locked="0"/>
    </xf>
    <xf numFmtId="229" fontId="13" fillId="0" borderId="0" xfId="1" applyNumberFormat="1" applyFont="1" applyAlignment="1" applyProtection="1">
      <alignment horizontal="center"/>
      <protection locked="0"/>
    </xf>
    <xf numFmtId="164" fontId="72" fillId="0" borderId="19" xfId="1" applyNumberFormat="1" applyFont="1" applyBorder="1" applyAlignment="1">
      <alignment horizontal="center"/>
    </xf>
    <xf numFmtId="216" fontId="67" fillId="0" borderId="45" xfId="1" applyNumberFormat="1" applyFont="1" applyBorder="1" applyAlignment="1">
      <alignment horizontal="center"/>
    </xf>
    <xf numFmtId="218" fontId="67" fillId="0" borderId="46" xfId="1" applyNumberFormat="1" applyFont="1" applyBorder="1" applyAlignment="1">
      <alignment horizontal="center"/>
    </xf>
    <xf numFmtId="227" fontId="67" fillId="0" borderId="47" xfId="1" applyNumberFormat="1" applyFont="1" applyBorder="1" applyAlignment="1">
      <alignment horizontal="center"/>
    </xf>
    <xf numFmtId="1" fontId="68" fillId="0" borderId="2" xfId="1" applyNumberFormat="1" applyFont="1" applyBorder="1" applyAlignment="1">
      <alignment horizontal="center"/>
    </xf>
    <xf numFmtId="215" fontId="67" fillId="0" borderId="6" xfId="1" applyNumberFormat="1" applyFont="1" applyBorder="1" applyAlignment="1">
      <alignment horizontal="center"/>
    </xf>
    <xf numFmtId="164" fontId="59" fillId="0" borderId="6" xfId="1" applyNumberFormat="1" applyFont="1" applyBorder="1" applyAlignment="1">
      <alignment horizontal="center"/>
    </xf>
    <xf numFmtId="164" fontId="59" fillId="0" borderId="4" xfId="1" applyNumberFormat="1" applyFont="1" applyBorder="1" applyAlignment="1">
      <alignment horizontal="center"/>
    </xf>
    <xf numFmtId="219" fontId="67" fillId="0" borderId="45" xfId="1" applyNumberFormat="1" applyFont="1" applyBorder="1" applyAlignment="1">
      <alignment horizontal="center"/>
    </xf>
    <xf numFmtId="222" fontId="67" fillId="0" borderId="46" xfId="1" applyNumberFormat="1" applyFont="1" applyBorder="1" applyAlignment="1">
      <alignment horizontal="center"/>
    </xf>
    <xf numFmtId="222" fontId="67" fillId="0" borderId="47" xfId="1" applyNumberFormat="1" applyFont="1" applyBorder="1" applyAlignment="1">
      <alignment horizontal="center"/>
    </xf>
    <xf numFmtId="164" fontId="72" fillId="0" borderId="25" xfId="1" applyNumberFormat="1" applyFont="1" applyBorder="1" applyAlignment="1">
      <alignment horizontal="center"/>
    </xf>
    <xf numFmtId="225" fontId="67" fillId="0" borderId="2" xfId="1" applyNumberFormat="1" applyFont="1" applyBorder="1" applyAlignment="1">
      <alignment horizontal="center"/>
    </xf>
    <xf numFmtId="210" fontId="67" fillId="0" borderId="6" xfId="1" applyNumberFormat="1" applyFont="1" applyBorder="1" applyAlignment="1">
      <alignment horizontal="center"/>
    </xf>
    <xf numFmtId="164" fontId="72" fillId="0" borderId="24" xfId="1" applyNumberFormat="1" applyFont="1" applyBorder="1" applyAlignment="1">
      <alignment horizontal="center"/>
    </xf>
    <xf numFmtId="210" fontId="67" fillId="0" borderId="4" xfId="1" applyNumberFormat="1" applyFont="1" applyBorder="1" applyAlignment="1">
      <alignment horizontal="center"/>
    </xf>
    <xf numFmtId="0" fontId="80" fillId="0" borderId="0" xfId="1" applyFont="1" applyAlignment="1">
      <alignment horizontal="center"/>
    </xf>
    <xf numFmtId="229" fontId="28" fillId="0" borderId="26" xfId="1" applyNumberFormat="1" applyFont="1" applyBorder="1" applyAlignment="1" applyProtection="1">
      <alignment horizontal="center"/>
      <protection locked="0"/>
    </xf>
    <xf numFmtId="229" fontId="28" fillId="0" borderId="27" xfId="1" applyNumberFormat="1" applyFont="1" applyBorder="1" applyAlignment="1" applyProtection="1">
      <alignment horizontal="center"/>
      <protection locked="0"/>
    </xf>
    <xf numFmtId="229" fontId="28" fillId="0" borderId="28" xfId="1" applyNumberFormat="1" applyFont="1" applyBorder="1" applyAlignment="1" applyProtection="1">
      <alignment horizontal="center"/>
      <protection locked="0"/>
    </xf>
    <xf numFmtId="0" fontId="68" fillId="0" borderId="0" xfId="1" applyFont="1" applyAlignment="1">
      <alignment horizontal="center"/>
    </xf>
    <xf numFmtId="0" fontId="80" fillId="0" borderId="0" xfId="1" applyFont="1"/>
    <xf numFmtId="164" fontId="79" fillId="0" borderId="0" xfId="1" applyNumberFormat="1" applyFont="1" applyAlignment="1" applyProtection="1">
      <alignment horizontal="center"/>
      <protection locked="0"/>
    </xf>
    <xf numFmtId="0" fontId="65" fillId="0" borderId="0" xfId="1" applyFont="1"/>
    <xf numFmtId="0" fontId="81" fillId="0" borderId="0" xfId="1" applyFont="1"/>
    <xf numFmtId="233" fontId="14" fillId="0" borderId="45" xfId="1" applyNumberFormat="1" applyFont="1" applyBorder="1" applyAlignment="1" applyProtection="1">
      <alignment horizontal="center"/>
      <protection locked="0"/>
    </xf>
    <xf numFmtId="216" fontId="59" fillId="0" borderId="46" xfId="1" applyNumberFormat="1" applyFont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169" fontId="59" fillId="0" borderId="6" xfId="1" applyNumberFormat="1" applyFont="1" applyBorder="1" applyAlignment="1">
      <alignment horizontal="center"/>
    </xf>
    <xf numFmtId="235" fontId="59" fillId="0" borderId="6" xfId="1" applyNumberFormat="1" applyFont="1" applyBorder="1" applyAlignment="1">
      <alignment horizontal="center"/>
    </xf>
    <xf numFmtId="236" fontId="67" fillId="0" borderId="45" xfId="1" applyNumberFormat="1" applyFont="1" applyBorder="1" applyAlignment="1">
      <alignment horizontal="center"/>
    </xf>
    <xf numFmtId="226" fontId="67" fillId="0" borderId="46" xfId="1" applyNumberFormat="1" applyFont="1" applyBorder="1" applyAlignment="1">
      <alignment horizontal="center"/>
    </xf>
    <xf numFmtId="219" fontId="67" fillId="0" borderId="46" xfId="1" applyNumberFormat="1" applyFont="1" applyBorder="1" applyAlignment="1">
      <alignment horizontal="center"/>
    </xf>
    <xf numFmtId="1" fontId="67" fillId="0" borderId="47" xfId="1" applyNumberFormat="1" applyFont="1" applyBorder="1" applyAlignment="1">
      <alignment horizontal="center"/>
    </xf>
    <xf numFmtId="0" fontId="68" fillId="0" borderId="2" xfId="1" applyFont="1" applyBorder="1" applyAlignment="1">
      <alignment horizontal="center"/>
    </xf>
    <xf numFmtId="0" fontId="68" fillId="0" borderId="6" xfId="1" applyFont="1" applyBorder="1" applyAlignment="1">
      <alignment horizontal="center"/>
    </xf>
    <xf numFmtId="225" fontId="67" fillId="0" borderId="6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68" fillId="0" borderId="2" xfId="1" applyFont="1" applyBorder="1" applyAlignment="1" applyProtection="1">
      <alignment horizontal="center"/>
      <protection locked="0"/>
    </xf>
    <xf numFmtId="0" fontId="68" fillId="0" borderId="6" xfId="1" applyFont="1" applyBorder="1" applyAlignment="1" applyProtection="1">
      <alignment horizontal="center"/>
      <protection locked="0"/>
    </xf>
    <xf numFmtId="0" fontId="68" fillId="0" borderId="4" xfId="1" applyFont="1" applyBorder="1" applyAlignment="1" applyProtection="1">
      <alignment horizontal="center"/>
      <protection locked="0"/>
    </xf>
    <xf numFmtId="198" fontId="79" fillId="0" borderId="45" xfId="1" applyNumberFormat="1" applyFont="1" applyBorder="1" applyAlignment="1" applyProtection="1">
      <alignment horizontal="center"/>
      <protection locked="0"/>
    </xf>
    <xf numFmtId="198" fontId="79" fillId="0" borderId="46" xfId="1" applyNumberFormat="1" applyFont="1" applyBorder="1" applyAlignment="1" applyProtection="1">
      <alignment horizontal="center"/>
      <protection locked="0"/>
    </xf>
    <xf numFmtId="198" fontId="79" fillId="0" borderId="47" xfId="1" applyNumberFormat="1" applyFont="1" applyBorder="1" applyAlignment="1" applyProtection="1">
      <alignment horizontal="center"/>
      <protection locked="0"/>
    </xf>
    <xf numFmtId="216" fontId="28" fillId="0" borderId="48" xfId="1" applyNumberFormat="1" applyFont="1" applyBorder="1" applyAlignment="1">
      <alignment horizontal="center"/>
    </xf>
    <xf numFmtId="1" fontId="68" fillId="0" borderId="43" xfId="1" applyNumberFormat="1" applyFont="1" applyBorder="1" applyAlignment="1">
      <alignment horizontal="center"/>
    </xf>
    <xf numFmtId="0" fontId="28" fillId="0" borderId="45" xfId="1" applyFont="1" applyBorder="1" applyAlignment="1" applyProtection="1">
      <alignment horizontal="center"/>
      <protection locked="0"/>
    </xf>
    <xf numFmtId="0" fontId="28" fillId="0" borderId="47" xfId="1" applyFont="1" applyBorder="1" applyAlignment="1" applyProtection="1">
      <alignment horizontal="center"/>
      <protection locked="0"/>
    </xf>
    <xf numFmtId="3" fontId="28" fillId="0" borderId="45" xfId="1" applyNumberFormat="1" applyFont="1" applyBorder="1" applyAlignment="1" applyProtection="1">
      <alignment horizontal="center"/>
      <protection locked="0"/>
    </xf>
    <xf numFmtId="223" fontId="28" fillId="0" borderId="46" xfId="1" applyNumberFormat="1" applyFont="1" applyBorder="1" applyAlignment="1" applyProtection="1">
      <alignment horizontal="center"/>
      <protection locked="0"/>
    </xf>
    <xf numFmtId="228" fontId="79" fillId="0" borderId="46" xfId="1" applyNumberFormat="1" applyFont="1" applyBorder="1" applyAlignment="1" applyProtection="1">
      <alignment horizontal="center"/>
      <protection locked="0"/>
    </xf>
    <xf numFmtId="234" fontId="79" fillId="0" borderId="47" xfId="1" applyNumberFormat="1" applyFont="1" applyBorder="1" applyAlignment="1" applyProtection="1">
      <alignment horizontal="center"/>
      <protection locked="0"/>
    </xf>
    <xf numFmtId="164" fontId="68" fillId="0" borderId="6" xfId="1" applyNumberFormat="1" applyFont="1" applyBorder="1" applyAlignment="1" applyProtection="1">
      <alignment horizontal="center"/>
      <protection locked="0"/>
    </xf>
    <xf numFmtId="221" fontId="28" fillId="0" borderId="45" xfId="1" applyNumberFormat="1" applyFont="1" applyBorder="1" applyAlignment="1" applyProtection="1">
      <alignment horizontal="center"/>
      <protection locked="0"/>
    </xf>
    <xf numFmtId="221" fontId="28" fillId="0" borderId="46" xfId="1" applyNumberFormat="1" applyFont="1" applyBorder="1" applyAlignment="1" applyProtection="1">
      <alignment horizontal="center"/>
      <protection locked="0"/>
    </xf>
    <xf numFmtId="221" fontId="28" fillId="0" borderId="47" xfId="1" applyNumberFormat="1" applyFont="1" applyBorder="1" applyAlignment="1" applyProtection="1">
      <alignment horizontal="center"/>
      <protection locked="0"/>
    </xf>
    <xf numFmtId="229" fontId="28" fillId="0" borderId="45" xfId="1" applyNumberFormat="1" applyFont="1" applyBorder="1" applyAlignment="1" applyProtection="1">
      <alignment horizontal="center"/>
      <protection locked="0"/>
    </xf>
    <xf numFmtId="229" fontId="28" fillId="0" borderId="46" xfId="1" applyNumberFormat="1" applyFont="1" applyBorder="1" applyAlignment="1" applyProtection="1">
      <alignment horizontal="center"/>
      <protection locked="0"/>
    </xf>
    <xf numFmtId="238" fontId="67" fillId="0" borderId="47" xfId="1" applyNumberFormat="1" applyFont="1" applyBorder="1" applyAlignment="1">
      <alignment horizontal="center"/>
    </xf>
    <xf numFmtId="166" fontId="67" fillId="0" borderId="6" xfId="6" applyNumberFormat="1" applyFont="1" applyBorder="1" applyAlignment="1">
      <alignment horizontal="center"/>
    </xf>
    <xf numFmtId="0" fontId="33" fillId="0" borderId="15" xfId="0" applyFont="1" applyBorder="1" applyAlignment="1" applyProtection="1">
      <alignment horizontal="center"/>
      <protection locked="0"/>
    </xf>
    <xf numFmtId="239" fontId="13" fillId="0" borderId="19" xfId="0" applyNumberFormat="1" applyFont="1" applyBorder="1" applyAlignment="1">
      <alignment horizontal="center"/>
    </xf>
    <xf numFmtId="0" fontId="82" fillId="0" borderId="11" xfId="0" applyFont="1" applyBorder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67" fontId="82" fillId="0" borderId="11" xfId="0" applyNumberFormat="1" applyFont="1" applyBorder="1" applyAlignment="1" applyProtection="1">
      <alignment horizontal="center"/>
      <protection locked="0"/>
    </xf>
    <xf numFmtId="3" fontId="82" fillId="0" borderId="0" xfId="0" applyNumberFormat="1" applyFont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3" fontId="83" fillId="0" borderId="15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0" fontId="84" fillId="0" borderId="1" xfId="0" applyFont="1" applyBorder="1" applyAlignment="1" applyProtection="1">
      <alignment horizontal="center"/>
      <protection locked="0"/>
    </xf>
    <xf numFmtId="3" fontId="84" fillId="0" borderId="25" xfId="0" applyNumberFormat="1" applyFont="1" applyBorder="1" applyAlignment="1" applyProtection="1">
      <alignment horizontal="center"/>
      <protection locked="0"/>
    </xf>
    <xf numFmtId="164" fontId="84" fillId="0" borderId="25" xfId="0" applyNumberFormat="1" applyFont="1" applyBorder="1" applyAlignment="1" applyProtection="1">
      <alignment horizontal="center"/>
      <protection locked="0"/>
    </xf>
    <xf numFmtId="2" fontId="79" fillId="0" borderId="26" xfId="0" applyNumberFormat="1" applyFont="1" applyBorder="1" applyAlignment="1">
      <alignment horizontal="center"/>
    </xf>
    <xf numFmtId="168" fontId="84" fillId="0" borderId="26" xfId="0" applyNumberFormat="1" applyFont="1" applyBorder="1" applyAlignment="1" applyProtection="1">
      <alignment horizontal="center"/>
      <protection locked="0"/>
    </xf>
    <xf numFmtId="0" fontId="84" fillId="0" borderId="5" xfId="0" applyFont="1" applyBorder="1" applyAlignment="1" applyProtection="1">
      <alignment horizontal="center"/>
      <protection locked="0"/>
    </xf>
    <xf numFmtId="3" fontId="84" fillId="0" borderId="19" xfId="0" applyNumberFormat="1" applyFont="1" applyBorder="1" applyAlignment="1" applyProtection="1">
      <alignment horizontal="center"/>
      <protection locked="0"/>
    </xf>
    <xf numFmtId="164" fontId="84" fillId="0" borderId="19" xfId="0" applyNumberFormat="1" applyFont="1" applyBorder="1" applyAlignment="1" applyProtection="1">
      <alignment horizontal="center"/>
      <protection locked="0"/>
    </xf>
    <xf numFmtId="2" fontId="79" fillId="0" borderId="27" xfId="0" applyNumberFormat="1" applyFont="1" applyBorder="1" applyAlignment="1">
      <alignment horizontal="center"/>
    </xf>
    <xf numFmtId="168" fontId="84" fillId="0" borderId="27" xfId="0" applyNumberFormat="1" applyFont="1" applyBorder="1" applyAlignment="1" applyProtection="1">
      <alignment horizontal="center"/>
      <protection locked="0"/>
    </xf>
    <xf numFmtId="2" fontId="79" fillId="0" borderId="28" xfId="0" applyNumberFormat="1" applyFont="1" applyBorder="1" applyAlignment="1">
      <alignment horizontal="center"/>
    </xf>
    <xf numFmtId="168" fontId="84" fillId="0" borderId="28" xfId="0" applyNumberFormat="1" applyFont="1" applyBorder="1" applyAlignment="1" applyProtection="1">
      <alignment horizontal="center"/>
      <protection locked="0"/>
    </xf>
    <xf numFmtId="0" fontId="28" fillId="0" borderId="1" xfId="0" applyFont="1" applyBorder="1" applyAlignment="1">
      <alignment horizontal="center"/>
    </xf>
    <xf numFmtId="4" fontId="28" fillId="0" borderId="25" xfId="0" applyNumberFormat="1" applyFont="1" applyBorder="1" applyAlignment="1">
      <alignment horizontal="center"/>
    </xf>
    <xf numFmtId="3" fontId="28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169" fontId="28" fillId="0" borderId="25" xfId="0" applyNumberFormat="1" applyFont="1" applyBorder="1" applyAlignment="1">
      <alignment horizontal="center"/>
    </xf>
    <xf numFmtId="168" fontId="28" fillId="0" borderId="25" xfId="0" applyNumberFormat="1" applyFont="1" applyBorder="1" applyAlignment="1">
      <alignment horizontal="center"/>
    </xf>
    <xf numFmtId="170" fontId="28" fillId="0" borderId="38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4" fontId="28" fillId="0" borderId="19" xfId="0" applyNumberFormat="1" applyFont="1" applyBorder="1" applyAlignment="1">
      <alignment horizontal="center"/>
    </xf>
    <xf numFmtId="3" fontId="28" fillId="0" borderId="19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69" fontId="28" fillId="0" borderId="19" xfId="0" applyNumberFormat="1" applyFont="1" applyBorder="1" applyAlignment="1">
      <alignment horizontal="center"/>
    </xf>
    <xf numFmtId="168" fontId="28" fillId="0" borderId="19" xfId="0" applyNumberFormat="1" applyFont="1" applyBorder="1" applyAlignment="1">
      <alignment horizontal="center"/>
    </xf>
    <xf numFmtId="170" fontId="28" fillId="0" borderId="39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4" fontId="28" fillId="0" borderId="24" xfId="0" applyNumberFormat="1" applyFont="1" applyBorder="1" applyAlignment="1">
      <alignment horizontal="center"/>
    </xf>
    <xf numFmtId="3" fontId="28" fillId="0" borderId="24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169" fontId="28" fillId="0" borderId="24" xfId="0" applyNumberFormat="1" applyFont="1" applyBorder="1" applyAlignment="1">
      <alignment horizontal="center"/>
    </xf>
    <xf numFmtId="168" fontId="28" fillId="0" borderId="24" xfId="0" applyNumberFormat="1" applyFont="1" applyBorder="1" applyAlignment="1">
      <alignment horizontal="center"/>
    </xf>
    <xf numFmtId="170" fontId="28" fillId="0" borderId="40" xfId="0" applyNumberFormat="1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175" fontId="28" fillId="0" borderId="37" xfId="0" applyNumberFormat="1" applyFont="1" applyBorder="1" applyAlignment="1">
      <alignment horizontal="center"/>
    </xf>
    <xf numFmtId="176" fontId="28" fillId="0" borderId="37" xfId="0" applyNumberFormat="1" applyFont="1" applyBorder="1" applyAlignment="1">
      <alignment horizontal="center"/>
    </xf>
    <xf numFmtId="175" fontId="57" fillId="0" borderId="37" xfId="0" applyNumberFormat="1" applyFont="1" applyBorder="1" applyAlignment="1">
      <alignment horizontal="center"/>
    </xf>
    <xf numFmtId="168" fontId="28" fillId="0" borderId="37" xfId="0" applyNumberFormat="1" applyFont="1" applyBorder="1" applyAlignment="1">
      <alignment horizontal="center"/>
    </xf>
    <xf numFmtId="175" fontId="57" fillId="0" borderId="10" xfId="0" applyNumberFormat="1" applyFont="1" applyBorder="1" applyAlignment="1">
      <alignment horizontal="center"/>
    </xf>
    <xf numFmtId="175" fontId="28" fillId="0" borderId="19" xfId="0" applyNumberFormat="1" applyFont="1" applyBorder="1" applyAlignment="1">
      <alignment horizontal="center"/>
    </xf>
    <xf numFmtId="176" fontId="28" fillId="0" borderId="19" xfId="0" applyNumberFormat="1" applyFont="1" applyBorder="1" applyAlignment="1">
      <alignment horizontal="center"/>
    </xf>
    <xf numFmtId="175" fontId="57" fillId="0" borderId="19" xfId="0" applyNumberFormat="1" applyFont="1" applyBorder="1" applyAlignment="1">
      <alignment horizontal="center"/>
    </xf>
    <xf numFmtId="175" fontId="57" fillId="0" borderId="6" xfId="0" applyNumberFormat="1" applyFont="1" applyBorder="1" applyAlignment="1">
      <alignment horizontal="center"/>
    </xf>
    <xf numFmtId="175" fontId="28" fillId="0" borderId="24" xfId="0" applyNumberFormat="1" applyFont="1" applyBorder="1" applyAlignment="1">
      <alignment horizontal="center"/>
    </xf>
    <xf numFmtId="176" fontId="28" fillId="0" borderId="24" xfId="0" applyNumberFormat="1" applyFont="1" applyBorder="1" applyAlignment="1">
      <alignment horizontal="center"/>
    </xf>
    <xf numFmtId="175" fontId="57" fillId="0" borderId="24" xfId="0" applyNumberFormat="1" applyFont="1" applyBorder="1" applyAlignment="1">
      <alignment horizontal="center"/>
    </xf>
    <xf numFmtId="175" fontId="57" fillId="0" borderId="4" xfId="0" applyNumberFormat="1" applyFont="1" applyBorder="1" applyAlignment="1">
      <alignment horizontal="center"/>
    </xf>
    <xf numFmtId="196" fontId="28" fillId="0" borderId="8" xfId="0" applyNumberFormat="1" applyFont="1" applyBorder="1" applyAlignment="1">
      <alignment horizontal="center"/>
    </xf>
    <xf numFmtId="196" fontId="28" fillId="0" borderId="13" xfId="0" applyNumberFormat="1" applyFont="1" applyBorder="1" applyAlignment="1">
      <alignment horizontal="center"/>
    </xf>
    <xf numFmtId="0" fontId="58" fillId="0" borderId="16" xfId="0" applyFont="1" applyBorder="1"/>
    <xf numFmtId="167" fontId="85" fillId="0" borderId="8" xfId="0" applyNumberFormat="1" applyFont="1" applyBorder="1" applyAlignment="1" applyProtection="1">
      <alignment horizontal="center"/>
      <protection locked="0"/>
    </xf>
    <xf numFmtId="3" fontId="85" fillId="0" borderId="13" xfId="0" applyNumberFormat="1" applyFont="1" applyBorder="1" applyAlignment="1" applyProtection="1">
      <alignment horizontal="center"/>
      <protection locked="0"/>
    </xf>
    <xf numFmtId="239" fontId="28" fillId="0" borderId="13" xfId="0" applyNumberFormat="1" applyFont="1" applyBorder="1" applyAlignment="1">
      <alignment horizontal="center"/>
    </xf>
    <xf numFmtId="240" fontId="28" fillId="0" borderId="13" xfId="0" applyNumberFormat="1" applyFont="1" applyBorder="1" applyAlignment="1">
      <alignment horizontal="center"/>
    </xf>
    <xf numFmtId="216" fontId="28" fillId="0" borderId="16" xfId="0" applyNumberFormat="1" applyFont="1" applyBorder="1" applyAlignment="1">
      <alignment horizontal="center"/>
    </xf>
    <xf numFmtId="164" fontId="67" fillId="0" borderId="46" xfId="1" applyNumberFormat="1" applyFont="1" applyBorder="1" applyAlignment="1">
      <alignment horizontal="center"/>
    </xf>
    <xf numFmtId="241" fontId="67" fillId="0" borderId="46" xfId="1" applyNumberFormat="1" applyFont="1" applyBorder="1" applyAlignment="1">
      <alignment horizontal="center"/>
    </xf>
    <xf numFmtId="164" fontId="67" fillId="0" borderId="4" xfId="1" applyNumberFormat="1" applyFont="1" applyBorder="1" applyAlignment="1" applyProtection="1">
      <alignment horizontal="center"/>
      <protection locked="0"/>
    </xf>
    <xf numFmtId="164" fontId="59" fillId="0" borderId="49" xfId="1" applyNumberFormat="1" applyFont="1" applyBorder="1" applyAlignment="1">
      <alignment horizontal="center"/>
    </xf>
    <xf numFmtId="0" fontId="58" fillId="0" borderId="51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242" fontId="67" fillId="0" borderId="47" xfId="1" applyNumberFormat="1" applyFont="1" applyBorder="1" applyAlignment="1">
      <alignment horizontal="center"/>
    </xf>
    <xf numFmtId="1" fontId="67" fillId="0" borderId="19" xfId="1" applyNumberFormat="1" applyFont="1" applyBorder="1" applyAlignment="1">
      <alignment horizontal="center"/>
    </xf>
    <xf numFmtId="0" fontId="86" fillId="0" borderId="0" xfId="1" applyFont="1" applyAlignment="1">
      <alignment horizontal="left"/>
    </xf>
    <xf numFmtId="0" fontId="79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58" fillId="0" borderId="1" xfId="1" applyFont="1" applyBorder="1" applyAlignment="1">
      <alignment horizontal="left"/>
    </xf>
    <xf numFmtId="0" fontId="58" fillId="0" borderId="5" xfId="1" applyFont="1" applyBorder="1" applyAlignment="1">
      <alignment horizontal="left"/>
    </xf>
    <xf numFmtId="0" fontId="30" fillId="0" borderId="3" xfId="1" applyFont="1" applyBorder="1" applyAlignment="1">
      <alignment horizontal="left"/>
    </xf>
    <xf numFmtId="0" fontId="58" fillId="0" borderId="3" xfId="1" applyFont="1" applyBorder="1" applyAlignment="1">
      <alignment horizontal="left"/>
    </xf>
    <xf numFmtId="0" fontId="30" fillId="0" borderId="0" xfId="1" applyFont="1" applyAlignment="1">
      <alignment horizontal="left"/>
    </xf>
    <xf numFmtId="0" fontId="58" fillId="0" borderId="5" xfId="1" applyFont="1" applyBorder="1"/>
    <xf numFmtId="0" fontId="58" fillId="0" borderId="42" xfId="1" applyFont="1" applyBorder="1" applyAlignment="1">
      <alignment horizontal="left"/>
    </xf>
    <xf numFmtId="0" fontId="58" fillId="0" borderId="50" xfId="1" applyFont="1" applyBorder="1" applyAlignment="1">
      <alignment horizontal="left"/>
    </xf>
    <xf numFmtId="0" fontId="58" fillId="0" borderId="39" xfId="1" applyFont="1" applyBorder="1"/>
    <xf numFmtId="164" fontId="58" fillId="0" borderId="1" xfId="1" applyNumberFormat="1" applyFont="1" applyBorder="1"/>
    <xf numFmtId="164" fontId="58" fillId="0" borderId="5" xfId="1" applyNumberFormat="1" applyFont="1" applyBorder="1"/>
    <xf numFmtId="0" fontId="58" fillId="0" borderId="1" xfId="1" applyFont="1" applyBorder="1"/>
    <xf numFmtId="0" fontId="58" fillId="0" borderId="3" xfId="1" applyFont="1" applyBorder="1"/>
    <xf numFmtId="164" fontId="58" fillId="0" borderId="3" xfId="1" applyNumberFormat="1" applyFont="1" applyBorder="1"/>
    <xf numFmtId="0" fontId="79" fillId="0" borderId="0" xfId="1" applyFont="1"/>
    <xf numFmtId="164" fontId="79" fillId="0" borderId="0" xfId="1" applyNumberFormat="1" applyFont="1"/>
    <xf numFmtId="0" fontId="86" fillId="0" borderId="0" xfId="1" applyFont="1"/>
    <xf numFmtId="230" fontId="67" fillId="0" borderId="46" xfId="1" applyNumberFormat="1" applyFont="1" applyBorder="1" applyAlignment="1">
      <alignment horizontal="center"/>
    </xf>
    <xf numFmtId="230" fontId="57" fillId="0" borderId="46" xfId="1" applyNumberFormat="1" applyFont="1" applyBorder="1" applyAlignment="1">
      <alignment horizontal="center"/>
    </xf>
    <xf numFmtId="170" fontId="57" fillId="0" borderId="6" xfId="1" applyNumberFormat="1" applyFont="1" applyBorder="1" applyAlignment="1">
      <alignment horizontal="center"/>
    </xf>
    <xf numFmtId="188" fontId="57" fillId="0" borderId="6" xfId="1" applyNumberFormat="1" applyFont="1" applyBorder="1" applyAlignment="1">
      <alignment horizontal="center"/>
    </xf>
  </cellXfs>
  <cellStyles count="7">
    <cellStyle name="Hyperlink" xfId="6" builtinId="8"/>
    <cellStyle name="Hyperlink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3" xfId="5" xr:uid="{00000000-0005-0000-0000-000005000000}"/>
    <cellStyle name="Normal 4" xfId="2" xr:uid="{00000000-0005-0000-0000-000006000000}"/>
  </cellStyles>
  <dxfs count="28"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b val="0"/>
        <i val="0"/>
        <condense val="0"/>
        <extend val="0"/>
      </font>
      <fill>
        <patternFill>
          <bgColor indexed="13"/>
        </patternFill>
      </fill>
    </dxf>
    <dxf>
      <font>
        <b/>
        <i val="0"/>
        <color rgb="FFFFC000"/>
        <name val="Cambria"/>
        <scheme val="none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ont>
        <color theme="0"/>
      </font>
      <border>
        <left style="thin">
          <color auto="1"/>
        </left>
        <right/>
        <top/>
        <bottom/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intercept val="0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F8E-4E0E-A032-CDFAF9F79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55456"/>
        <c:axId val="287956016"/>
      </c:scatterChart>
      <c:valAx>
        <c:axId val="2879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956016"/>
        <c:crosses val="autoZero"/>
        <c:crossBetween val="midCat"/>
      </c:valAx>
      <c:valAx>
        <c:axId val="28795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955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Temperature of Incoming Air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D9C-482B-96D4-64483F0B130F}"/>
            </c:ext>
          </c:extLst>
        </c:ser>
        <c:ser>
          <c:idx val="2"/>
          <c:order val="1"/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D9C-482B-96D4-64483F0B130F}"/>
            </c:ext>
          </c:extLst>
        </c:ser>
        <c:ser>
          <c:idx val="3"/>
          <c:order val="2"/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D9C-482B-96D4-64483F0B1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59376"/>
        <c:axId val="287959936"/>
      </c:scatterChart>
      <c:valAx>
        <c:axId val="287959376"/>
        <c:scaling>
          <c:orientation val="minMax"/>
          <c:max val="1.4166666659999874"/>
          <c:min val="0.4166666600000028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[$-409]h:mm\ AM/P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959936"/>
        <c:crosses val="autoZero"/>
        <c:crossBetween val="midCat"/>
        <c:majorUnit val="8.3333333000000023E-2"/>
      </c:valAx>
      <c:valAx>
        <c:axId val="28795993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(F)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959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Relative Humidity of Incoming Air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538-483C-A05A-ED52C473E561}"/>
            </c:ext>
          </c:extLst>
        </c:ser>
        <c:ser>
          <c:idx val="1"/>
          <c:order val="1"/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538-483C-A05A-ED52C473E561}"/>
            </c:ext>
          </c:extLst>
        </c:ser>
        <c:ser>
          <c:idx val="5"/>
          <c:order val="2"/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538-483C-A05A-ED52C473E561}"/>
            </c:ext>
          </c:extLst>
        </c:ser>
        <c:ser>
          <c:idx val="6"/>
          <c:order val="3"/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F538-483C-A05A-ED52C473E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63856"/>
        <c:axId val="287964416"/>
      </c:scatterChart>
      <c:valAx>
        <c:axId val="287963856"/>
        <c:scaling>
          <c:orientation val="minMax"/>
          <c:max val="1.4166666599999838"/>
          <c:min val="0.4166666666000024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[$-409]h:mm\ AM/P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964416"/>
        <c:crosses val="autoZero"/>
        <c:crossBetween val="midCat"/>
        <c:majorUnit val="8.3333300000000027E-2"/>
      </c:valAx>
      <c:valAx>
        <c:axId val="287964416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Temperature/Rh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79638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66096"/>
        <c:axId val="287966656"/>
      </c:barChart>
      <c:catAx>
        <c:axId val="287966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7966656"/>
        <c:crosses val="autoZero"/>
        <c:auto val="1"/>
        <c:lblAlgn val="ctr"/>
        <c:lblOffset val="100"/>
        <c:tickMarkSkip val="1"/>
        <c:noMultiLvlLbl val="0"/>
      </c:catAx>
      <c:valAx>
        <c:axId val="2879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7966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15729265967627E-2"/>
          <c:y val="6.0241081986308502E-2"/>
          <c:w val="0.88179218303145857"/>
          <c:h val="0.661979890975166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'Pad set temp simulator 2014'!$W$1</c:f>
              <c:strCache>
                <c:ptCount val="1"/>
                <c:pt idx="0">
                  <c:v>Outside T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'Pad set temp simulator 2014'!$V$4:$V$266</c:f>
              <c:numCache>
                <c:formatCode>[$-409]m/d/yy\ h:mm\ AM/PM;@</c:formatCode>
                <c:ptCount val="263"/>
                <c:pt idx="0">
                  <c:v>35632.041666666664</c:v>
                </c:pt>
                <c:pt idx="1">
                  <c:v>35632.083333333328</c:v>
                </c:pt>
                <c:pt idx="2">
                  <c:v>35632.124999999993</c:v>
                </c:pt>
                <c:pt idx="3">
                  <c:v>35632.166666666657</c:v>
                </c:pt>
                <c:pt idx="4">
                  <c:v>35632.208333333321</c:v>
                </c:pt>
                <c:pt idx="5">
                  <c:v>35632.249999999985</c:v>
                </c:pt>
                <c:pt idx="6">
                  <c:v>35632.29166666665</c:v>
                </c:pt>
                <c:pt idx="7">
                  <c:v>35632.333333333314</c:v>
                </c:pt>
                <c:pt idx="8">
                  <c:v>35632.374999999978</c:v>
                </c:pt>
                <c:pt idx="9">
                  <c:v>35632.416666666642</c:v>
                </c:pt>
                <c:pt idx="10">
                  <c:v>35632.458333333307</c:v>
                </c:pt>
                <c:pt idx="11">
                  <c:v>35632.499999999971</c:v>
                </c:pt>
                <c:pt idx="12">
                  <c:v>35632.541666666635</c:v>
                </c:pt>
                <c:pt idx="13">
                  <c:v>35632.583333333299</c:v>
                </c:pt>
                <c:pt idx="14">
                  <c:v>35632.624999999964</c:v>
                </c:pt>
                <c:pt idx="15">
                  <c:v>35632.666666666628</c:v>
                </c:pt>
                <c:pt idx="16">
                  <c:v>35632.708333333292</c:v>
                </c:pt>
                <c:pt idx="17">
                  <c:v>35632.749999999956</c:v>
                </c:pt>
                <c:pt idx="18">
                  <c:v>35632.791666666621</c:v>
                </c:pt>
                <c:pt idx="19">
                  <c:v>35632.833333333285</c:v>
                </c:pt>
                <c:pt idx="20">
                  <c:v>35632.874999999949</c:v>
                </c:pt>
                <c:pt idx="21">
                  <c:v>35632.916666666613</c:v>
                </c:pt>
                <c:pt idx="22">
                  <c:v>35632.958333333278</c:v>
                </c:pt>
                <c:pt idx="23">
                  <c:v>35632.999999999942</c:v>
                </c:pt>
                <c:pt idx="24">
                  <c:v>35633.041666666606</c:v>
                </c:pt>
                <c:pt idx="25">
                  <c:v>35633.08333333327</c:v>
                </c:pt>
                <c:pt idx="26">
                  <c:v>35633.124999999935</c:v>
                </c:pt>
                <c:pt idx="27">
                  <c:v>35633.166666666599</c:v>
                </c:pt>
                <c:pt idx="28">
                  <c:v>35633.208333333263</c:v>
                </c:pt>
                <c:pt idx="29">
                  <c:v>35633.249999999927</c:v>
                </c:pt>
                <c:pt idx="30">
                  <c:v>35633.291666666591</c:v>
                </c:pt>
                <c:pt idx="31">
                  <c:v>35633.333333333256</c:v>
                </c:pt>
                <c:pt idx="32">
                  <c:v>35633.37499999992</c:v>
                </c:pt>
                <c:pt idx="33">
                  <c:v>35633.416666666584</c:v>
                </c:pt>
                <c:pt idx="34">
                  <c:v>35633.458333333248</c:v>
                </c:pt>
                <c:pt idx="35">
                  <c:v>35633.499999999913</c:v>
                </c:pt>
                <c:pt idx="36">
                  <c:v>35633.541666666577</c:v>
                </c:pt>
                <c:pt idx="37">
                  <c:v>35633.583333333241</c:v>
                </c:pt>
                <c:pt idx="38">
                  <c:v>35633.624999999905</c:v>
                </c:pt>
                <c:pt idx="39">
                  <c:v>35633.66666666657</c:v>
                </c:pt>
                <c:pt idx="40">
                  <c:v>35633.708333333234</c:v>
                </c:pt>
                <c:pt idx="41">
                  <c:v>35633.749999999898</c:v>
                </c:pt>
                <c:pt idx="42">
                  <c:v>35633.791666666562</c:v>
                </c:pt>
                <c:pt idx="43">
                  <c:v>35633.833333333227</c:v>
                </c:pt>
                <c:pt idx="44">
                  <c:v>35633.874999999891</c:v>
                </c:pt>
                <c:pt idx="45">
                  <c:v>35633.916666666555</c:v>
                </c:pt>
                <c:pt idx="46">
                  <c:v>35633.958333333219</c:v>
                </c:pt>
                <c:pt idx="47">
                  <c:v>35633.999999999884</c:v>
                </c:pt>
                <c:pt idx="48">
                  <c:v>35634.041666666548</c:v>
                </c:pt>
                <c:pt idx="49">
                  <c:v>35634.083333333212</c:v>
                </c:pt>
                <c:pt idx="50">
                  <c:v>35634.124999999876</c:v>
                </c:pt>
                <c:pt idx="51">
                  <c:v>35634.166666666541</c:v>
                </c:pt>
                <c:pt idx="52">
                  <c:v>35634.208333333205</c:v>
                </c:pt>
                <c:pt idx="53">
                  <c:v>35634.249999999869</c:v>
                </c:pt>
                <c:pt idx="54">
                  <c:v>35634.291666666533</c:v>
                </c:pt>
                <c:pt idx="55">
                  <c:v>35634.333333333198</c:v>
                </c:pt>
                <c:pt idx="56">
                  <c:v>35634.374999999862</c:v>
                </c:pt>
                <c:pt idx="57">
                  <c:v>35634.416666666526</c:v>
                </c:pt>
                <c:pt idx="58">
                  <c:v>35634.45833333319</c:v>
                </c:pt>
                <c:pt idx="59">
                  <c:v>35634.499999999854</c:v>
                </c:pt>
                <c:pt idx="60">
                  <c:v>35634.541666666519</c:v>
                </c:pt>
                <c:pt idx="61">
                  <c:v>35634.583333333183</c:v>
                </c:pt>
                <c:pt idx="62">
                  <c:v>35634.624999999847</c:v>
                </c:pt>
                <c:pt idx="63">
                  <c:v>35634.666666666511</c:v>
                </c:pt>
                <c:pt idx="64">
                  <c:v>35634.708333333176</c:v>
                </c:pt>
                <c:pt idx="65">
                  <c:v>35634.74999999984</c:v>
                </c:pt>
                <c:pt idx="66">
                  <c:v>35634.791666666504</c:v>
                </c:pt>
                <c:pt idx="67">
                  <c:v>35634.833333333168</c:v>
                </c:pt>
                <c:pt idx="68">
                  <c:v>35634.874999999833</c:v>
                </c:pt>
                <c:pt idx="69">
                  <c:v>35634.916666666497</c:v>
                </c:pt>
                <c:pt idx="70">
                  <c:v>35634.958333333161</c:v>
                </c:pt>
                <c:pt idx="71">
                  <c:v>35634.999999999825</c:v>
                </c:pt>
                <c:pt idx="72">
                  <c:v>35635.04166666649</c:v>
                </c:pt>
                <c:pt idx="73">
                  <c:v>35635.083333333154</c:v>
                </c:pt>
                <c:pt idx="74">
                  <c:v>35635.124999999818</c:v>
                </c:pt>
                <c:pt idx="75">
                  <c:v>35635.166666666482</c:v>
                </c:pt>
                <c:pt idx="76">
                  <c:v>35635.208333333147</c:v>
                </c:pt>
                <c:pt idx="77">
                  <c:v>35635.249999999811</c:v>
                </c:pt>
                <c:pt idx="78">
                  <c:v>35635.291666666475</c:v>
                </c:pt>
                <c:pt idx="79">
                  <c:v>35635.333333333139</c:v>
                </c:pt>
                <c:pt idx="80">
                  <c:v>35635.374999999804</c:v>
                </c:pt>
                <c:pt idx="81">
                  <c:v>35635.416666666468</c:v>
                </c:pt>
                <c:pt idx="82">
                  <c:v>35635.458333333132</c:v>
                </c:pt>
                <c:pt idx="83">
                  <c:v>35635.499999999796</c:v>
                </c:pt>
                <c:pt idx="84">
                  <c:v>35635.541666666461</c:v>
                </c:pt>
                <c:pt idx="85">
                  <c:v>35635.583333333125</c:v>
                </c:pt>
                <c:pt idx="86">
                  <c:v>35635.624999999789</c:v>
                </c:pt>
                <c:pt idx="87">
                  <c:v>35635.666666666453</c:v>
                </c:pt>
                <c:pt idx="88">
                  <c:v>35635.708333333117</c:v>
                </c:pt>
                <c:pt idx="89">
                  <c:v>35635.749999999782</c:v>
                </c:pt>
                <c:pt idx="90">
                  <c:v>35635.791666666446</c:v>
                </c:pt>
                <c:pt idx="91">
                  <c:v>35635.83333333311</c:v>
                </c:pt>
                <c:pt idx="92">
                  <c:v>35635.874999999774</c:v>
                </c:pt>
                <c:pt idx="93">
                  <c:v>35635.916666666439</c:v>
                </c:pt>
                <c:pt idx="94">
                  <c:v>35635.958333333103</c:v>
                </c:pt>
                <c:pt idx="95">
                  <c:v>35635.999999999767</c:v>
                </c:pt>
                <c:pt idx="96">
                  <c:v>35636.041666666431</c:v>
                </c:pt>
                <c:pt idx="97">
                  <c:v>35636.083333333096</c:v>
                </c:pt>
                <c:pt idx="98">
                  <c:v>35636.12499999976</c:v>
                </c:pt>
                <c:pt idx="99">
                  <c:v>35636.166666666424</c:v>
                </c:pt>
                <c:pt idx="100">
                  <c:v>35636.208333333088</c:v>
                </c:pt>
                <c:pt idx="101">
                  <c:v>35636.249999999753</c:v>
                </c:pt>
                <c:pt idx="102">
                  <c:v>35636.291666666417</c:v>
                </c:pt>
                <c:pt idx="103">
                  <c:v>35636.333333333081</c:v>
                </c:pt>
                <c:pt idx="104">
                  <c:v>35636.374999999745</c:v>
                </c:pt>
                <c:pt idx="105">
                  <c:v>35636.41666666641</c:v>
                </c:pt>
                <c:pt idx="106">
                  <c:v>35636.458333333074</c:v>
                </c:pt>
                <c:pt idx="107">
                  <c:v>35636.499999999738</c:v>
                </c:pt>
                <c:pt idx="108">
                  <c:v>35636.541666666402</c:v>
                </c:pt>
                <c:pt idx="109">
                  <c:v>35636.583333333067</c:v>
                </c:pt>
                <c:pt idx="110">
                  <c:v>35636.624999999731</c:v>
                </c:pt>
                <c:pt idx="111">
                  <c:v>35636.666666666395</c:v>
                </c:pt>
                <c:pt idx="112">
                  <c:v>35636.708333333059</c:v>
                </c:pt>
                <c:pt idx="113">
                  <c:v>35636.749999999724</c:v>
                </c:pt>
                <c:pt idx="114">
                  <c:v>35636.791666666388</c:v>
                </c:pt>
                <c:pt idx="115">
                  <c:v>35636.833333333052</c:v>
                </c:pt>
                <c:pt idx="116">
                  <c:v>35636.874999999716</c:v>
                </c:pt>
                <c:pt idx="117">
                  <c:v>35636.91666666638</c:v>
                </c:pt>
                <c:pt idx="118">
                  <c:v>35636.958333333045</c:v>
                </c:pt>
                <c:pt idx="119">
                  <c:v>35636.999999999709</c:v>
                </c:pt>
                <c:pt idx="120">
                  <c:v>35637.041666666373</c:v>
                </c:pt>
                <c:pt idx="121">
                  <c:v>35637.083333333037</c:v>
                </c:pt>
                <c:pt idx="122">
                  <c:v>35637.124999999702</c:v>
                </c:pt>
                <c:pt idx="123">
                  <c:v>35637.166666666366</c:v>
                </c:pt>
                <c:pt idx="124">
                  <c:v>35637.20833333303</c:v>
                </c:pt>
                <c:pt idx="125">
                  <c:v>35637.249999999694</c:v>
                </c:pt>
                <c:pt idx="126">
                  <c:v>35637.291666666359</c:v>
                </c:pt>
                <c:pt idx="127">
                  <c:v>35637.333333333023</c:v>
                </c:pt>
                <c:pt idx="128">
                  <c:v>35637.374999999687</c:v>
                </c:pt>
                <c:pt idx="129">
                  <c:v>35637.416666666351</c:v>
                </c:pt>
                <c:pt idx="130">
                  <c:v>35637.458333333016</c:v>
                </c:pt>
                <c:pt idx="131">
                  <c:v>35637.49999999968</c:v>
                </c:pt>
                <c:pt idx="132">
                  <c:v>35637.541666666344</c:v>
                </c:pt>
                <c:pt idx="133">
                  <c:v>35637.583333333008</c:v>
                </c:pt>
                <c:pt idx="134">
                  <c:v>35637.624999999673</c:v>
                </c:pt>
                <c:pt idx="135">
                  <c:v>35637.666666666337</c:v>
                </c:pt>
                <c:pt idx="136">
                  <c:v>35637.708333333001</c:v>
                </c:pt>
                <c:pt idx="137">
                  <c:v>35637.749999999665</c:v>
                </c:pt>
                <c:pt idx="138">
                  <c:v>35637.79166666633</c:v>
                </c:pt>
                <c:pt idx="139">
                  <c:v>35637.833333332994</c:v>
                </c:pt>
                <c:pt idx="140">
                  <c:v>35637.874999999658</c:v>
                </c:pt>
                <c:pt idx="141">
                  <c:v>35637.916666666322</c:v>
                </c:pt>
                <c:pt idx="142">
                  <c:v>35637.958333332987</c:v>
                </c:pt>
                <c:pt idx="143">
                  <c:v>35637.999999999651</c:v>
                </c:pt>
                <c:pt idx="144">
                  <c:v>35638.041666666315</c:v>
                </c:pt>
                <c:pt idx="145">
                  <c:v>35638.083333332979</c:v>
                </c:pt>
                <c:pt idx="146">
                  <c:v>35638.124999999643</c:v>
                </c:pt>
                <c:pt idx="147">
                  <c:v>35638.166666666308</c:v>
                </c:pt>
                <c:pt idx="148">
                  <c:v>35638.208333332972</c:v>
                </c:pt>
                <c:pt idx="149">
                  <c:v>35638.249999999636</c:v>
                </c:pt>
                <c:pt idx="150">
                  <c:v>35638.2916666663</c:v>
                </c:pt>
                <c:pt idx="151">
                  <c:v>35638.333333332965</c:v>
                </c:pt>
                <c:pt idx="152">
                  <c:v>35638.374999999629</c:v>
                </c:pt>
                <c:pt idx="153">
                  <c:v>35638.416666666293</c:v>
                </c:pt>
                <c:pt idx="154">
                  <c:v>35638.458333332957</c:v>
                </c:pt>
                <c:pt idx="155">
                  <c:v>35638.499999999622</c:v>
                </c:pt>
                <c:pt idx="156">
                  <c:v>35638.541666666286</c:v>
                </c:pt>
                <c:pt idx="157">
                  <c:v>35638.58333333295</c:v>
                </c:pt>
                <c:pt idx="158">
                  <c:v>35638.624999999614</c:v>
                </c:pt>
                <c:pt idx="159">
                  <c:v>35638.666666666279</c:v>
                </c:pt>
                <c:pt idx="160">
                  <c:v>35638.708333332943</c:v>
                </c:pt>
                <c:pt idx="161">
                  <c:v>35638.749999999607</c:v>
                </c:pt>
                <c:pt idx="162">
                  <c:v>35638.791666666271</c:v>
                </c:pt>
                <c:pt idx="163">
                  <c:v>35638.833333332936</c:v>
                </c:pt>
                <c:pt idx="164">
                  <c:v>35638.8749999996</c:v>
                </c:pt>
                <c:pt idx="165">
                  <c:v>35638.916666666264</c:v>
                </c:pt>
                <c:pt idx="166">
                  <c:v>35638.958333332928</c:v>
                </c:pt>
                <c:pt idx="167">
                  <c:v>35638.999999999593</c:v>
                </c:pt>
                <c:pt idx="168">
                  <c:v>35639.041666666257</c:v>
                </c:pt>
                <c:pt idx="169">
                  <c:v>35639.083333332921</c:v>
                </c:pt>
                <c:pt idx="170">
                  <c:v>35639.124999999585</c:v>
                </c:pt>
                <c:pt idx="171">
                  <c:v>35639.16666666625</c:v>
                </c:pt>
                <c:pt idx="172">
                  <c:v>35639.208333332914</c:v>
                </c:pt>
                <c:pt idx="173">
                  <c:v>35639.249999999578</c:v>
                </c:pt>
                <c:pt idx="174">
                  <c:v>35639.291666666242</c:v>
                </c:pt>
                <c:pt idx="175">
                  <c:v>35639.333333332906</c:v>
                </c:pt>
                <c:pt idx="176">
                  <c:v>35639.374999999571</c:v>
                </c:pt>
                <c:pt idx="177">
                  <c:v>35639.416666666235</c:v>
                </c:pt>
                <c:pt idx="178">
                  <c:v>35639.458333332899</c:v>
                </c:pt>
                <c:pt idx="179">
                  <c:v>35639.499999999563</c:v>
                </c:pt>
                <c:pt idx="180">
                  <c:v>35639.541666666228</c:v>
                </c:pt>
                <c:pt idx="181">
                  <c:v>35639.583333332892</c:v>
                </c:pt>
                <c:pt idx="182">
                  <c:v>35639.624999999556</c:v>
                </c:pt>
                <c:pt idx="183">
                  <c:v>35639.66666666622</c:v>
                </c:pt>
                <c:pt idx="184">
                  <c:v>35639.708333332885</c:v>
                </c:pt>
                <c:pt idx="185">
                  <c:v>35639.749999999549</c:v>
                </c:pt>
                <c:pt idx="186">
                  <c:v>35639.791666666213</c:v>
                </c:pt>
                <c:pt idx="187">
                  <c:v>35639.833333332877</c:v>
                </c:pt>
                <c:pt idx="188">
                  <c:v>35639.874999999542</c:v>
                </c:pt>
                <c:pt idx="189">
                  <c:v>35639.916666666206</c:v>
                </c:pt>
                <c:pt idx="190">
                  <c:v>35639.95833333287</c:v>
                </c:pt>
                <c:pt idx="191">
                  <c:v>35639.999999999534</c:v>
                </c:pt>
                <c:pt idx="192">
                  <c:v>35640.041666666199</c:v>
                </c:pt>
                <c:pt idx="193">
                  <c:v>35640.083333332863</c:v>
                </c:pt>
                <c:pt idx="194">
                  <c:v>35640.124999999527</c:v>
                </c:pt>
                <c:pt idx="195">
                  <c:v>35640.166666666191</c:v>
                </c:pt>
                <c:pt idx="196">
                  <c:v>35640.208333332856</c:v>
                </c:pt>
                <c:pt idx="197">
                  <c:v>35640.24999999952</c:v>
                </c:pt>
                <c:pt idx="198">
                  <c:v>35640.291666666184</c:v>
                </c:pt>
                <c:pt idx="199">
                  <c:v>35640.333333332848</c:v>
                </c:pt>
                <c:pt idx="200">
                  <c:v>35640.374999999513</c:v>
                </c:pt>
                <c:pt idx="201">
                  <c:v>35640.416666666177</c:v>
                </c:pt>
                <c:pt idx="202">
                  <c:v>35640.458333332841</c:v>
                </c:pt>
                <c:pt idx="203">
                  <c:v>35640.499999999505</c:v>
                </c:pt>
                <c:pt idx="204">
                  <c:v>35640.541666666169</c:v>
                </c:pt>
                <c:pt idx="205">
                  <c:v>35640.583333332834</c:v>
                </c:pt>
                <c:pt idx="206">
                  <c:v>35640.624999999498</c:v>
                </c:pt>
                <c:pt idx="207">
                  <c:v>35640.666666666162</c:v>
                </c:pt>
                <c:pt idx="208">
                  <c:v>35640.708333332826</c:v>
                </c:pt>
                <c:pt idx="209">
                  <c:v>35640.749999999491</c:v>
                </c:pt>
                <c:pt idx="210">
                  <c:v>35640.791666666155</c:v>
                </c:pt>
                <c:pt idx="211">
                  <c:v>35640.833333332819</c:v>
                </c:pt>
                <c:pt idx="212">
                  <c:v>35640.874999999483</c:v>
                </c:pt>
                <c:pt idx="213">
                  <c:v>35640.916666666148</c:v>
                </c:pt>
                <c:pt idx="214">
                  <c:v>35640.958333332812</c:v>
                </c:pt>
                <c:pt idx="215">
                  <c:v>35640.999999999476</c:v>
                </c:pt>
                <c:pt idx="216">
                  <c:v>35641.04166666614</c:v>
                </c:pt>
                <c:pt idx="217">
                  <c:v>35641.083333332805</c:v>
                </c:pt>
                <c:pt idx="218">
                  <c:v>35641.124999999469</c:v>
                </c:pt>
                <c:pt idx="219">
                  <c:v>35641.166666666133</c:v>
                </c:pt>
                <c:pt idx="220">
                  <c:v>35641.208333332797</c:v>
                </c:pt>
                <c:pt idx="221">
                  <c:v>35641.249999999462</c:v>
                </c:pt>
                <c:pt idx="222">
                  <c:v>35641.291666666126</c:v>
                </c:pt>
                <c:pt idx="223">
                  <c:v>35641.33333333279</c:v>
                </c:pt>
                <c:pt idx="224">
                  <c:v>35641.374999999454</c:v>
                </c:pt>
                <c:pt idx="225">
                  <c:v>35641.416666666119</c:v>
                </c:pt>
                <c:pt idx="226">
                  <c:v>35641.458333332783</c:v>
                </c:pt>
                <c:pt idx="227">
                  <c:v>35641.499999999447</c:v>
                </c:pt>
                <c:pt idx="228">
                  <c:v>35641.541666666111</c:v>
                </c:pt>
                <c:pt idx="229">
                  <c:v>35641.583333332776</c:v>
                </c:pt>
                <c:pt idx="230">
                  <c:v>35641.62499999944</c:v>
                </c:pt>
                <c:pt idx="231">
                  <c:v>35641.666666666104</c:v>
                </c:pt>
                <c:pt idx="232">
                  <c:v>35641.708333332768</c:v>
                </c:pt>
                <c:pt idx="233">
                  <c:v>35641.749999999432</c:v>
                </c:pt>
                <c:pt idx="234">
                  <c:v>35641.791666666097</c:v>
                </c:pt>
                <c:pt idx="235">
                  <c:v>35641.833333332761</c:v>
                </c:pt>
                <c:pt idx="236">
                  <c:v>35641.874999999425</c:v>
                </c:pt>
                <c:pt idx="237">
                  <c:v>35641.916666666089</c:v>
                </c:pt>
                <c:pt idx="238">
                  <c:v>35641.958333332754</c:v>
                </c:pt>
                <c:pt idx="239">
                  <c:v>35641.999999999418</c:v>
                </c:pt>
                <c:pt idx="240">
                  <c:v>35642.041666666082</c:v>
                </c:pt>
                <c:pt idx="241">
                  <c:v>35642.083333332746</c:v>
                </c:pt>
                <c:pt idx="242">
                  <c:v>35642.124999999411</c:v>
                </c:pt>
                <c:pt idx="243">
                  <c:v>35642.166666666075</c:v>
                </c:pt>
                <c:pt idx="244">
                  <c:v>35642.208333332739</c:v>
                </c:pt>
                <c:pt idx="245">
                  <c:v>35642.249999999403</c:v>
                </c:pt>
                <c:pt idx="246">
                  <c:v>35642.291666666068</c:v>
                </c:pt>
                <c:pt idx="247">
                  <c:v>35642.333333332732</c:v>
                </c:pt>
                <c:pt idx="248">
                  <c:v>35642.374999999396</c:v>
                </c:pt>
                <c:pt idx="249">
                  <c:v>35642.41666666606</c:v>
                </c:pt>
                <c:pt idx="250">
                  <c:v>35642.458333332725</c:v>
                </c:pt>
                <c:pt idx="251">
                  <c:v>35642.499999999389</c:v>
                </c:pt>
                <c:pt idx="252">
                  <c:v>35642.541666666053</c:v>
                </c:pt>
                <c:pt idx="253">
                  <c:v>35642.583333332717</c:v>
                </c:pt>
                <c:pt idx="254">
                  <c:v>35642.624999999382</c:v>
                </c:pt>
                <c:pt idx="255">
                  <c:v>35642.666666666046</c:v>
                </c:pt>
                <c:pt idx="256">
                  <c:v>35642.70833333271</c:v>
                </c:pt>
                <c:pt idx="257">
                  <c:v>35642.749999999374</c:v>
                </c:pt>
                <c:pt idx="258">
                  <c:v>35642.791666666039</c:v>
                </c:pt>
                <c:pt idx="259">
                  <c:v>35642.833333332703</c:v>
                </c:pt>
                <c:pt idx="260">
                  <c:v>35642.874999999367</c:v>
                </c:pt>
                <c:pt idx="261">
                  <c:v>35642.916666666031</c:v>
                </c:pt>
                <c:pt idx="262">
                  <c:v>35642.958333332695</c:v>
                </c:pt>
              </c:numCache>
            </c:numRef>
          </c:xVal>
          <c:yVal>
            <c:numRef>
              <c:f>'Pad set temp simulator 2014'!$W$4:$W$266</c:f>
              <c:numCache>
                <c:formatCode>General</c:formatCode>
                <c:ptCount val="263"/>
                <c:pt idx="0">
                  <c:v>95</c:v>
                </c:pt>
                <c:pt idx="1">
                  <c:v>77</c:v>
                </c:pt>
                <c:pt idx="2">
                  <c:v>75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79</c:v>
                </c:pt>
                <c:pt idx="7">
                  <c:v>82</c:v>
                </c:pt>
                <c:pt idx="8">
                  <c:v>86</c:v>
                </c:pt>
                <c:pt idx="9">
                  <c:v>88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94</c:v>
                </c:pt>
                <c:pt idx="15">
                  <c:v>95</c:v>
                </c:pt>
                <c:pt idx="16">
                  <c:v>93</c:v>
                </c:pt>
                <c:pt idx="17">
                  <c:v>93</c:v>
                </c:pt>
                <c:pt idx="18">
                  <c:v>91</c:v>
                </c:pt>
                <c:pt idx="19">
                  <c:v>85</c:v>
                </c:pt>
                <c:pt idx="20">
                  <c:v>86</c:v>
                </c:pt>
                <c:pt idx="21">
                  <c:v>84</c:v>
                </c:pt>
                <c:pt idx="22">
                  <c:v>82</c:v>
                </c:pt>
                <c:pt idx="23">
                  <c:v>80</c:v>
                </c:pt>
                <c:pt idx="24">
                  <c:v>81</c:v>
                </c:pt>
                <c:pt idx="25">
                  <c:v>78</c:v>
                </c:pt>
                <c:pt idx="26">
                  <c:v>79</c:v>
                </c:pt>
                <c:pt idx="27">
                  <c:v>78</c:v>
                </c:pt>
                <c:pt idx="28">
                  <c:v>77</c:v>
                </c:pt>
                <c:pt idx="29">
                  <c:v>77</c:v>
                </c:pt>
                <c:pt idx="30">
                  <c:v>81</c:v>
                </c:pt>
                <c:pt idx="31">
                  <c:v>84</c:v>
                </c:pt>
                <c:pt idx="32">
                  <c:v>88</c:v>
                </c:pt>
                <c:pt idx="33">
                  <c:v>90</c:v>
                </c:pt>
                <c:pt idx="34">
                  <c:v>92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95</c:v>
                </c:pt>
                <c:pt idx="39">
                  <c:v>96</c:v>
                </c:pt>
                <c:pt idx="40">
                  <c:v>95</c:v>
                </c:pt>
                <c:pt idx="41">
                  <c:v>93</c:v>
                </c:pt>
                <c:pt idx="42">
                  <c:v>91</c:v>
                </c:pt>
                <c:pt idx="43">
                  <c:v>85</c:v>
                </c:pt>
                <c:pt idx="44">
                  <c:v>82</c:v>
                </c:pt>
                <c:pt idx="45">
                  <c:v>84</c:v>
                </c:pt>
                <c:pt idx="46">
                  <c:v>82</c:v>
                </c:pt>
                <c:pt idx="47">
                  <c:v>81</c:v>
                </c:pt>
                <c:pt idx="48">
                  <c:v>81</c:v>
                </c:pt>
                <c:pt idx="49">
                  <c:v>80</c:v>
                </c:pt>
                <c:pt idx="50">
                  <c:v>80</c:v>
                </c:pt>
                <c:pt idx="51">
                  <c:v>78</c:v>
                </c:pt>
                <c:pt idx="52">
                  <c:v>78</c:v>
                </c:pt>
                <c:pt idx="53">
                  <c:v>78</c:v>
                </c:pt>
                <c:pt idx="54">
                  <c:v>80</c:v>
                </c:pt>
                <c:pt idx="55">
                  <c:v>86</c:v>
                </c:pt>
                <c:pt idx="56">
                  <c:v>88</c:v>
                </c:pt>
                <c:pt idx="57">
                  <c:v>91</c:v>
                </c:pt>
                <c:pt idx="58">
                  <c:v>93</c:v>
                </c:pt>
                <c:pt idx="59">
                  <c:v>95</c:v>
                </c:pt>
                <c:pt idx="60">
                  <c:v>96</c:v>
                </c:pt>
                <c:pt idx="61">
                  <c:v>97</c:v>
                </c:pt>
                <c:pt idx="62">
                  <c:v>97</c:v>
                </c:pt>
                <c:pt idx="63">
                  <c:v>83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77</c:v>
                </c:pt>
                <c:pt idx="68">
                  <c:v>78</c:v>
                </c:pt>
                <c:pt idx="69">
                  <c:v>78</c:v>
                </c:pt>
                <c:pt idx="70">
                  <c:v>77</c:v>
                </c:pt>
                <c:pt idx="71">
                  <c:v>76</c:v>
                </c:pt>
                <c:pt idx="72">
                  <c:v>75</c:v>
                </c:pt>
                <c:pt idx="73">
                  <c:v>76</c:v>
                </c:pt>
                <c:pt idx="74">
                  <c:v>76</c:v>
                </c:pt>
                <c:pt idx="75">
                  <c:v>75</c:v>
                </c:pt>
                <c:pt idx="76">
                  <c:v>74</c:v>
                </c:pt>
                <c:pt idx="77">
                  <c:v>74</c:v>
                </c:pt>
                <c:pt idx="78">
                  <c:v>77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87</c:v>
                </c:pt>
                <c:pt idx="84">
                  <c:v>89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92</c:v>
                </c:pt>
                <c:pt idx="89">
                  <c:v>90</c:v>
                </c:pt>
                <c:pt idx="90">
                  <c:v>86</c:v>
                </c:pt>
                <c:pt idx="91">
                  <c:v>83</c:v>
                </c:pt>
                <c:pt idx="92">
                  <c:v>82</c:v>
                </c:pt>
                <c:pt idx="93">
                  <c:v>80</c:v>
                </c:pt>
                <c:pt idx="94">
                  <c:v>79</c:v>
                </c:pt>
                <c:pt idx="95">
                  <c:v>78</c:v>
                </c:pt>
                <c:pt idx="96">
                  <c:v>78</c:v>
                </c:pt>
                <c:pt idx="97">
                  <c:v>76</c:v>
                </c:pt>
                <c:pt idx="98">
                  <c:v>74</c:v>
                </c:pt>
                <c:pt idx="99">
                  <c:v>74</c:v>
                </c:pt>
                <c:pt idx="100">
                  <c:v>75</c:v>
                </c:pt>
                <c:pt idx="101">
                  <c:v>75</c:v>
                </c:pt>
                <c:pt idx="102">
                  <c:v>78</c:v>
                </c:pt>
                <c:pt idx="103">
                  <c:v>82</c:v>
                </c:pt>
                <c:pt idx="104">
                  <c:v>86</c:v>
                </c:pt>
                <c:pt idx="105">
                  <c:v>89</c:v>
                </c:pt>
                <c:pt idx="106">
                  <c:v>91</c:v>
                </c:pt>
                <c:pt idx="107">
                  <c:v>92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96</c:v>
                </c:pt>
                <c:pt idx="112">
                  <c:v>95</c:v>
                </c:pt>
                <c:pt idx="113">
                  <c:v>93</c:v>
                </c:pt>
                <c:pt idx="114">
                  <c:v>90</c:v>
                </c:pt>
                <c:pt idx="115">
                  <c:v>85</c:v>
                </c:pt>
                <c:pt idx="116">
                  <c:v>84</c:v>
                </c:pt>
                <c:pt idx="117">
                  <c:v>81</c:v>
                </c:pt>
                <c:pt idx="118">
                  <c:v>82</c:v>
                </c:pt>
                <c:pt idx="119">
                  <c:v>80</c:v>
                </c:pt>
                <c:pt idx="120">
                  <c:v>79</c:v>
                </c:pt>
                <c:pt idx="121">
                  <c:v>78</c:v>
                </c:pt>
                <c:pt idx="122">
                  <c:v>77</c:v>
                </c:pt>
                <c:pt idx="123">
                  <c:v>77</c:v>
                </c:pt>
                <c:pt idx="124">
                  <c:v>76</c:v>
                </c:pt>
                <c:pt idx="125">
                  <c:v>76</c:v>
                </c:pt>
                <c:pt idx="126">
                  <c:v>79</c:v>
                </c:pt>
                <c:pt idx="127">
                  <c:v>84</c:v>
                </c:pt>
                <c:pt idx="128">
                  <c:v>87</c:v>
                </c:pt>
                <c:pt idx="129">
                  <c:v>90</c:v>
                </c:pt>
                <c:pt idx="130">
                  <c:v>92</c:v>
                </c:pt>
                <c:pt idx="131">
                  <c:v>93</c:v>
                </c:pt>
                <c:pt idx="132">
                  <c:v>93</c:v>
                </c:pt>
                <c:pt idx="133">
                  <c:v>95</c:v>
                </c:pt>
                <c:pt idx="134">
                  <c:v>95</c:v>
                </c:pt>
                <c:pt idx="135">
                  <c:v>96</c:v>
                </c:pt>
                <c:pt idx="136">
                  <c:v>95</c:v>
                </c:pt>
                <c:pt idx="137">
                  <c:v>93</c:v>
                </c:pt>
                <c:pt idx="138">
                  <c:v>90</c:v>
                </c:pt>
                <c:pt idx="139">
                  <c:v>86</c:v>
                </c:pt>
                <c:pt idx="140">
                  <c:v>86</c:v>
                </c:pt>
                <c:pt idx="141">
                  <c:v>85</c:v>
                </c:pt>
                <c:pt idx="142">
                  <c:v>83</c:v>
                </c:pt>
                <c:pt idx="143">
                  <c:v>80</c:v>
                </c:pt>
                <c:pt idx="144">
                  <c:v>81</c:v>
                </c:pt>
                <c:pt idx="145">
                  <c:v>80</c:v>
                </c:pt>
                <c:pt idx="146">
                  <c:v>80</c:v>
                </c:pt>
                <c:pt idx="147">
                  <c:v>78</c:v>
                </c:pt>
                <c:pt idx="148">
                  <c:v>77</c:v>
                </c:pt>
                <c:pt idx="149">
                  <c:v>76</c:v>
                </c:pt>
                <c:pt idx="150">
                  <c:v>81</c:v>
                </c:pt>
                <c:pt idx="151">
                  <c:v>86</c:v>
                </c:pt>
                <c:pt idx="152">
                  <c:v>92</c:v>
                </c:pt>
                <c:pt idx="153">
                  <c:v>92</c:v>
                </c:pt>
                <c:pt idx="154">
                  <c:v>94</c:v>
                </c:pt>
                <c:pt idx="155">
                  <c:v>94</c:v>
                </c:pt>
                <c:pt idx="156">
                  <c:v>97</c:v>
                </c:pt>
                <c:pt idx="157">
                  <c:v>98</c:v>
                </c:pt>
                <c:pt idx="158">
                  <c:v>98</c:v>
                </c:pt>
                <c:pt idx="159">
                  <c:v>96</c:v>
                </c:pt>
                <c:pt idx="160">
                  <c:v>95</c:v>
                </c:pt>
                <c:pt idx="161">
                  <c:v>92</c:v>
                </c:pt>
                <c:pt idx="162">
                  <c:v>87</c:v>
                </c:pt>
                <c:pt idx="163">
                  <c:v>86</c:v>
                </c:pt>
                <c:pt idx="164">
                  <c:v>86</c:v>
                </c:pt>
                <c:pt idx="165">
                  <c:v>83</c:v>
                </c:pt>
                <c:pt idx="166">
                  <c:v>84</c:v>
                </c:pt>
                <c:pt idx="167">
                  <c:v>83</c:v>
                </c:pt>
                <c:pt idx="168">
                  <c:v>81</c:v>
                </c:pt>
                <c:pt idx="169">
                  <c:v>80</c:v>
                </c:pt>
                <c:pt idx="170">
                  <c:v>80</c:v>
                </c:pt>
                <c:pt idx="171">
                  <c:v>78</c:v>
                </c:pt>
                <c:pt idx="172">
                  <c:v>78</c:v>
                </c:pt>
                <c:pt idx="173">
                  <c:v>82</c:v>
                </c:pt>
                <c:pt idx="174">
                  <c:v>86</c:v>
                </c:pt>
                <c:pt idx="175">
                  <c:v>89</c:v>
                </c:pt>
                <c:pt idx="176">
                  <c:v>92</c:v>
                </c:pt>
                <c:pt idx="177">
                  <c:v>94</c:v>
                </c:pt>
                <c:pt idx="178">
                  <c:v>95</c:v>
                </c:pt>
                <c:pt idx="179">
                  <c:v>94</c:v>
                </c:pt>
                <c:pt idx="180">
                  <c:v>97</c:v>
                </c:pt>
                <c:pt idx="181">
                  <c:v>97</c:v>
                </c:pt>
                <c:pt idx="182">
                  <c:v>97</c:v>
                </c:pt>
                <c:pt idx="183">
                  <c:v>95</c:v>
                </c:pt>
                <c:pt idx="184">
                  <c:v>94</c:v>
                </c:pt>
                <c:pt idx="185">
                  <c:v>91</c:v>
                </c:pt>
                <c:pt idx="186">
                  <c:v>86</c:v>
                </c:pt>
                <c:pt idx="187">
                  <c:v>86</c:v>
                </c:pt>
                <c:pt idx="188">
                  <c:v>84</c:v>
                </c:pt>
                <c:pt idx="189">
                  <c:v>83</c:v>
                </c:pt>
                <c:pt idx="190">
                  <c:v>81</c:v>
                </c:pt>
                <c:pt idx="191">
                  <c:v>82</c:v>
                </c:pt>
                <c:pt idx="192">
                  <c:v>80</c:v>
                </c:pt>
                <c:pt idx="193">
                  <c:v>77</c:v>
                </c:pt>
                <c:pt idx="194">
                  <c:v>78</c:v>
                </c:pt>
                <c:pt idx="195">
                  <c:v>79</c:v>
                </c:pt>
                <c:pt idx="196">
                  <c:v>76</c:v>
                </c:pt>
                <c:pt idx="197">
                  <c:v>80</c:v>
                </c:pt>
                <c:pt idx="198">
                  <c:v>83</c:v>
                </c:pt>
                <c:pt idx="199">
                  <c:v>89</c:v>
                </c:pt>
                <c:pt idx="200">
                  <c:v>91</c:v>
                </c:pt>
                <c:pt idx="201">
                  <c:v>93</c:v>
                </c:pt>
                <c:pt idx="202">
                  <c:v>94</c:v>
                </c:pt>
                <c:pt idx="203">
                  <c:v>95</c:v>
                </c:pt>
                <c:pt idx="204">
                  <c:v>96</c:v>
                </c:pt>
                <c:pt idx="205">
                  <c:v>97</c:v>
                </c:pt>
                <c:pt idx="206">
                  <c:v>98</c:v>
                </c:pt>
                <c:pt idx="207">
                  <c:v>97</c:v>
                </c:pt>
                <c:pt idx="208">
                  <c:v>91</c:v>
                </c:pt>
                <c:pt idx="209">
                  <c:v>85</c:v>
                </c:pt>
                <c:pt idx="210">
                  <c:v>82</c:v>
                </c:pt>
                <c:pt idx="211">
                  <c:v>81</c:v>
                </c:pt>
                <c:pt idx="212">
                  <c:v>79</c:v>
                </c:pt>
                <c:pt idx="213">
                  <c:v>78</c:v>
                </c:pt>
                <c:pt idx="214">
                  <c:v>78</c:v>
                </c:pt>
                <c:pt idx="215">
                  <c:v>77</c:v>
                </c:pt>
                <c:pt idx="216">
                  <c:v>78</c:v>
                </c:pt>
                <c:pt idx="217">
                  <c:v>77</c:v>
                </c:pt>
                <c:pt idx="218">
                  <c:v>76</c:v>
                </c:pt>
                <c:pt idx="219">
                  <c:v>76</c:v>
                </c:pt>
                <c:pt idx="220">
                  <c:v>77</c:v>
                </c:pt>
                <c:pt idx="221">
                  <c:v>79</c:v>
                </c:pt>
                <c:pt idx="222">
                  <c:v>81</c:v>
                </c:pt>
                <c:pt idx="223">
                  <c:v>81</c:v>
                </c:pt>
                <c:pt idx="224">
                  <c:v>81</c:v>
                </c:pt>
                <c:pt idx="225">
                  <c:v>83</c:v>
                </c:pt>
                <c:pt idx="226">
                  <c:v>84</c:v>
                </c:pt>
                <c:pt idx="227">
                  <c:v>85</c:v>
                </c:pt>
                <c:pt idx="228">
                  <c:v>80</c:v>
                </c:pt>
                <c:pt idx="229">
                  <c:v>82</c:v>
                </c:pt>
                <c:pt idx="230">
                  <c:v>85</c:v>
                </c:pt>
                <c:pt idx="231">
                  <c:v>85</c:v>
                </c:pt>
                <c:pt idx="232">
                  <c:v>85</c:v>
                </c:pt>
                <c:pt idx="233">
                  <c:v>83</c:v>
                </c:pt>
                <c:pt idx="234">
                  <c:v>80</c:v>
                </c:pt>
                <c:pt idx="235">
                  <c:v>82</c:v>
                </c:pt>
                <c:pt idx="236">
                  <c:v>81</c:v>
                </c:pt>
                <c:pt idx="237">
                  <c:v>81</c:v>
                </c:pt>
                <c:pt idx="238">
                  <c:v>80</c:v>
                </c:pt>
                <c:pt idx="239">
                  <c:v>79</c:v>
                </c:pt>
                <c:pt idx="240">
                  <c:v>79</c:v>
                </c:pt>
                <c:pt idx="241">
                  <c:v>78</c:v>
                </c:pt>
                <c:pt idx="242">
                  <c:v>77</c:v>
                </c:pt>
                <c:pt idx="243">
                  <c:v>76</c:v>
                </c:pt>
                <c:pt idx="244">
                  <c:v>75</c:v>
                </c:pt>
                <c:pt idx="245">
                  <c:v>75</c:v>
                </c:pt>
                <c:pt idx="246">
                  <c:v>77</c:v>
                </c:pt>
                <c:pt idx="247">
                  <c:v>80</c:v>
                </c:pt>
                <c:pt idx="248">
                  <c:v>83</c:v>
                </c:pt>
                <c:pt idx="249">
                  <c:v>86</c:v>
                </c:pt>
                <c:pt idx="250">
                  <c:v>89</c:v>
                </c:pt>
                <c:pt idx="251">
                  <c:v>90</c:v>
                </c:pt>
                <c:pt idx="252">
                  <c:v>92</c:v>
                </c:pt>
                <c:pt idx="253">
                  <c:v>91</c:v>
                </c:pt>
                <c:pt idx="254">
                  <c:v>91</c:v>
                </c:pt>
                <c:pt idx="255">
                  <c:v>90</c:v>
                </c:pt>
                <c:pt idx="256">
                  <c:v>88</c:v>
                </c:pt>
                <c:pt idx="257">
                  <c:v>86</c:v>
                </c:pt>
                <c:pt idx="258">
                  <c:v>83</c:v>
                </c:pt>
                <c:pt idx="259">
                  <c:v>82</c:v>
                </c:pt>
                <c:pt idx="260">
                  <c:v>80</c:v>
                </c:pt>
                <c:pt idx="261">
                  <c:v>78</c:v>
                </c:pt>
                <c:pt idx="262">
                  <c:v>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BF-45BB-B59F-86C7BD8C373D}"/>
            </c:ext>
          </c:extLst>
        </c:ser>
        <c:ser>
          <c:idx val="2"/>
          <c:order val="1"/>
          <c:tx>
            <c:strRef>
              <c:f>'Pad set temp simulator 2014'!$Y$1</c:f>
              <c:strCache>
                <c:ptCount val="1"/>
                <c:pt idx="0">
                  <c:v>Outside Rh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'Pad set temp simulator 2014'!$V$4:$V$266</c:f>
              <c:numCache>
                <c:formatCode>[$-409]m/d/yy\ h:mm\ AM/PM;@</c:formatCode>
                <c:ptCount val="263"/>
                <c:pt idx="0">
                  <c:v>35632.041666666664</c:v>
                </c:pt>
                <c:pt idx="1">
                  <c:v>35632.083333333328</c:v>
                </c:pt>
                <c:pt idx="2">
                  <c:v>35632.124999999993</c:v>
                </c:pt>
                <c:pt idx="3">
                  <c:v>35632.166666666657</c:v>
                </c:pt>
                <c:pt idx="4">
                  <c:v>35632.208333333321</c:v>
                </c:pt>
                <c:pt idx="5">
                  <c:v>35632.249999999985</c:v>
                </c:pt>
                <c:pt idx="6">
                  <c:v>35632.29166666665</c:v>
                </c:pt>
                <c:pt idx="7">
                  <c:v>35632.333333333314</c:v>
                </c:pt>
                <c:pt idx="8">
                  <c:v>35632.374999999978</c:v>
                </c:pt>
                <c:pt idx="9">
                  <c:v>35632.416666666642</c:v>
                </c:pt>
                <c:pt idx="10">
                  <c:v>35632.458333333307</c:v>
                </c:pt>
                <c:pt idx="11">
                  <c:v>35632.499999999971</c:v>
                </c:pt>
                <c:pt idx="12">
                  <c:v>35632.541666666635</c:v>
                </c:pt>
                <c:pt idx="13">
                  <c:v>35632.583333333299</c:v>
                </c:pt>
                <c:pt idx="14">
                  <c:v>35632.624999999964</c:v>
                </c:pt>
                <c:pt idx="15">
                  <c:v>35632.666666666628</c:v>
                </c:pt>
                <c:pt idx="16">
                  <c:v>35632.708333333292</c:v>
                </c:pt>
                <c:pt idx="17">
                  <c:v>35632.749999999956</c:v>
                </c:pt>
                <c:pt idx="18">
                  <c:v>35632.791666666621</c:v>
                </c:pt>
                <c:pt idx="19">
                  <c:v>35632.833333333285</c:v>
                </c:pt>
                <c:pt idx="20">
                  <c:v>35632.874999999949</c:v>
                </c:pt>
                <c:pt idx="21">
                  <c:v>35632.916666666613</c:v>
                </c:pt>
                <c:pt idx="22">
                  <c:v>35632.958333333278</c:v>
                </c:pt>
                <c:pt idx="23">
                  <c:v>35632.999999999942</c:v>
                </c:pt>
                <c:pt idx="24">
                  <c:v>35633.041666666606</c:v>
                </c:pt>
                <c:pt idx="25">
                  <c:v>35633.08333333327</c:v>
                </c:pt>
                <c:pt idx="26">
                  <c:v>35633.124999999935</c:v>
                </c:pt>
                <c:pt idx="27">
                  <c:v>35633.166666666599</c:v>
                </c:pt>
                <c:pt idx="28">
                  <c:v>35633.208333333263</c:v>
                </c:pt>
                <c:pt idx="29">
                  <c:v>35633.249999999927</c:v>
                </c:pt>
                <c:pt idx="30">
                  <c:v>35633.291666666591</c:v>
                </c:pt>
                <c:pt idx="31">
                  <c:v>35633.333333333256</c:v>
                </c:pt>
                <c:pt idx="32">
                  <c:v>35633.37499999992</c:v>
                </c:pt>
                <c:pt idx="33">
                  <c:v>35633.416666666584</c:v>
                </c:pt>
                <c:pt idx="34">
                  <c:v>35633.458333333248</c:v>
                </c:pt>
                <c:pt idx="35">
                  <c:v>35633.499999999913</c:v>
                </c:pt>
                <c:pt idx="36">
                  <c:v>35633.541666666577</c:v>
                </c:pt>
                <c:pt idx="37">
                  <c:v>35633.583333333241</c:v>
                </c:pt>
                <c:pt idx="38">
                  <c:v>35633.624999999905</c:v>
                </c:pt>
                <c:pt idx="39">
                  <c:v>35633.66666666657</c:v>
                </c:pt>
                <c:pt idx="40">
                  <c:v>35633.708333333234</c:v>
                </c:pt>
                <c:pt idx="41">
                  <c:v>35633.749999999898</c:v>
                </c:pt>
                <c:pt idx="42">
                  <c:v>35633.791666666562</c:v>
                </c:pt>
                <c:pt idx="43">
                  <c:v>35633.833333333227</c:v>
                </c:pt>
                <c:pt idx="44">
                  <c:v>35633.874999999891</c:v>
                </c:pt>
                <c:pt idx="45">
                  <c:v>35633.916666666555</c:v>
                </c:pt>
                <c:pt idx="46">
                  <c:v>35633.958333333219</c:v>
                </c:pt>
                <c:pt idx="47">
                  <c:v>35633.999999999884</c:v>
                </c:pt>
                <c:pt idx="48">
                  <c:v>35634.041666666548</c:v>
                </c:pt>
                <c:pt idx="49">
                  <c:v>35634.083333333212</c:v>
                </c:pt>
                <c:pt idx="50">
                  <c:v>35634.124999999876</c:v>
                </c:pt>
                <c:pt idx="51">
                  <c:v>35634.166666666541</c:v>
                </c:pt>
                <c:pt idx="52">
                  <c:v>35634.208333333205</c:v>
                </c:pt>
                <c:pt idx="53">
                  <c:v>35634.249999999869</c:v>
                </c:pt>
                <c:pt idx="54">
                  <c:v>35634.291666666533</c:v>
                </c:pt>
                <c:pt idx="55">
                  <c:v>35634.333333333198</c:v>
                </c:pt>
                <c:pt idx="56">
                  <c:v>35634.374999999862</c:v>
                </c:pt>
                <c:pt idx="57">
                  <c:v>35634.416666666526</c:v>
                </c:pt>
                <c:pt idx="58">
                  <c:v>35634.45833333319</c:v>
                </c:pt>
                <c:pt idx="59">
                  <c:v>35634.499999999854</c:v>
                </c:pt>
                <c:pt idx="60">
                  <c:v>35634.541666666519</c:v>
                </c:pt>
                <c:pt idx="61">
                  <c:v>35634.583333333183</c:v>
                </c:pt>
                <c:pt idx="62">
                  <c:v>35634.624999999847</c:v>
                </c:pt>
                <c:pt idx="63">
                  <c:v>35634.666666666511</c:v>
                </c:pt>
                <c:pt idx="64">
                  <c:v>35634.708333333176</c:v>
                </c:pt>
                <c:pt idx="65">
                  <c:v>35634.74999999984</c:v>
                </c:pt>
                <c:pt idx="66">
                  <c:v>35634.791666666504</c:v>
                </c:pt>
                <c:pt idx="67">
                  <c:v>35634.833333333168</c:v>
                </c:pt>
                <c:pt idx="68">
                  <c:v>35634.874999999833</c:v>
                </c:pt>
                <c:pt idx="69">
                  <c:v>35634.916666666497</c:v>
                </c:pt>
                <c:pt idx="70">
                  <c:v>35634.958333333161</c:v>
                </c:pt>
                <c:pt idx="71">
                  <c:v>35634.999999999825</c:v>
                </c:pt>
                <c:pt idx="72">
                  <c:v>35635.04166666649</c:v>
                </c:pt>
                <c:pt idx="73">
                  <c:v>35635.083333333154</c:v>
                </c:pt>
                <c:pt idx="74">
                  <c:v>35635.124999999818</c:v>
                </c:pt>
                <c:pt idx="75">
                  <c:v>35635.166666666482</c:v>
                </c:pt>
                <c:pt idx="76">
                  <c:v>35635.208333333147</c:v>
                </c:pt>
                <c:pt idx="77">
                  <c:v>35635.249999999811</c:v>
                </c:pt>
                <c:pt idx="78">
                  <c:v>35635.291666666475</c:v>
                </c:pt>
                <c:pt idx="79">
                  <c:v>35635.333333333139</c:v>
                </c:pt>
                <c:pt idx="80">
                  <c:v>35635.374999999804</c:v>
                </c:pt>
                <c:pt idx="81">
                  <c:v>35635.416666666468</c:v>
                </c:pt>
                <c:pt idx="82">
                  <c:v>35635.458333333132</c:v>
                </c:pt>
                <c:pt idx="83">
                  <c:v>35635.499999999796</c:v>
                </c:pt>
                <c:pt idx="84">
                  <c:v>35635.541666666461</c:v>
                </c:pt>
                <c:pt idx="85">
                  <c:v>35635.583333333125</c:v>
                </c:pt>
                <c:pt idx="86">
                  <c:v>35635.624999999789</c:v>
                </c:pt>
                <c:pt idx="87">
                  <c:v>35635.666666666453</c:v>
                </c:pt>
                <c:pt idx="88">
                  <c:v>35635.708333333117</c:v>
                </c:pt>
                <c:pt idx="89">
                  <c:v>35635.749999999782</c:v>
                </c:pt>
                <c:pt idx="90">
                  <c:v>35635.791666666446</c:v>
                </c:pt>
                <c:pt idx="91">
                  <c:v>35635.83333333311</c:v>
                </c:pt>
                <c:pt idx="92">
                  <c:v>35635.874999999774</c:v>
                </c:pt>
                <c:pt idx="93">
                  <c:v>35635.916666666439</c:v>
                </c:pt>
                <c:pt idx="94">
                  <c:v>35635.958333333103</c:v>
                </c:pt>
                <c:pt idx="95">
                  <c:v>35635.999999999767</c:v>
                </c:pt>
                <c:pt idx="96">
                  <c:v>35636.041666666431</c:v>
                </c:pt>
                <c:pt idx="97">
                  <c:v>35636.083333333096</c:v>
                </c:pt>
                <c:pt idx="98">
                  <c:v>35636.12499999976</c:v>
                </c:pt>
                <c:pt idx="99">
                  <c:v>35636.166666666424</c:v>
                </c:pt>
                <c:pt idx="100">
                  <c:v>35636.208333333088</c:v>
                </c:pt>
                <c:pt idx="101">
                  <c:v>35636.249999999753</c:v>
                </c:pt>
                <c:pt idx="102">
                  <c:v>35636.291666666417</c:v>
                </c:pt>
                <c:pt idx="103">
                  <c:v>35636.333333333081</c:v>
                </c:pt>
                <c:pt idx="104">
                  <c:v>35636.374999999745</c:v>
                </c:pt>
                <c:pt idx="105">
                  <c:v>35636.41666666641</c:v>
                </c:pt>
                <c:pt idx="106">
                  <c:v>35636.458333333074</c:v>
                </c:pt>
                <c:pt idx="107">
                  <c:v>35636.499999999738</c:v>
                </c:pt>
                <c:pt idx="108">
                  <c:v>35636.541666666402</c:v>
                </c:pt>
                <c:pt idx="109">
                  <c:v>35636.583333333067</c:v>
                </c:pt>
                <c:pt idx="110">
                  <c:v>35636.624999999731</c:v>
                </c:pt>
                <c:pt idx="111">
                  <c:v>35636.666666666395</c:v>
                </c:pt>
                <c:pt idx="112">
                  <c:v>35636.708333333059</c:v>
                </c:pt>
                <c:pt idx="113">
                  <c:v>35636.749999999724</c:v>
                </c:pt>
                <c:pt idx="114">
                  <c:v>35636.791666666388</c:v>
                </c:pt>
                <c:pt idx="115">
                  <c:v>35636.833333333052</c:v>
                </c:pt>
                <c:pt idx="116">
                  <c:v>35636.874999999716</c:v>
                </c:pt>
                <c:pt idx="117">
                  <c:v>35636.91666666638</c:v>
                </c:pt>
                <c:pt idx="118">
                  <c:v>35636.958333333045</c:v>
                </c:pt>
                <c:pt idx="119">
                  <c:v>35636.999999999709</c:v>
                </c:pt>
                <c:pt idx="120">
                  <c:v>35637.041666666373</c:v>
                </c:pt>
                <c:pt idx="121">
                  <c:v>35637.083333333037</c:v>
                </c:pt>
                <c:pt idx="122">
                  <c:v>35637.124999999702</c:v>
                </c:pt>
                <c:pt idx="123">
                  <c:v>35637.166666666366</c:v>
                </c:pt>
                <c:pt idx="124">
                  <c:v>35637.20833333303</c:v>
                </c:pt>
                <c:pt idx="125">
                  <c:v>35637.249999999694</c:v>
                </c:pt>
                <c:pt idx="126">
                  <c:v>35637.291666666359</c:v>
                </c:pt>
                <c:pt idx="127">
                  <c:v>35637.333333333023</c:v>
                </c:pt>
                <c:pt idx="128">
                  <c:v>35637.374999999687</c:v>
                </c:pt>
                <c:pt idx="129">
                  <c:v>35637.416666666351</c:v>
                </c:pt>
                <c:pt idx="130">
                  <c:v>35637.458333333016</c:v>
                </c:pt>
                <c:pt idx="131">
                  <c:v>35637.49999999968</c:v>
                </c:pt>
                <c:pt idx="132">
                  <c:v>35637.541666666344</c:v>
                </c:pt>
                <c:pt idx="133">
                  <c:v>35637.583333333008</c:v>
                </c:pt>
                <c:pt idx="134">
                  <c:v>35637.624999999673</c:v>
                </c:pt>
                <c:pt idx="135">
                  <c:v>35637.666666666337</c:v>
                </c:pt>
                <c:pt idx="136">
                  <c:v>35637.708333333001</c:v>
                </c:pt>
                <c:pt idx="137">
                  <c:v>35637.749999999665</c:v>
                </c:pt>
                <c:pt idx="138">
                  <c:v>35637.79166666633</c:v>
                </c:pt>
                <c:pt idx="139">
                  <c:v>35637.833333332994</c:v>
                </c:pt>
                <c:pt idx="140">
                  <c:v>35637.874999999658</c:v>
                </c:pt>
                <c:pt idx="141">
                  <c:v>35637.916666666322</c:v>
                </c:pt>
                <c:pt idx="142">
                  <c:v>35637.958333332987</c:v>
                </c:pt>
                <c:pt idx="143">
                  <c:v>35637.999999999651</c:v>
                </c:pt>
                <c:pt idx="144">
                  <c:v>35638.041666666315</c:v>
                </c:pt>
                <c:pt idx="145">
                  <c:v>35638.083333332979</c:v>
                </c:pt>
                <c:pt idx="146">
                  <c:v>35638.124999999643</c:v>
                </c:pt>
                <c:pt idx="147">
                  <c:v>35638.166666666308</c:v>
                </c:pt>
                <c:pt idx="148">
                  <c:v>35638.208333332972</c:v>
                </c:pt>
                <c:pt idx="149">
                  <c:v>35638.249999999636</c:v>
                </c:pt>
                <c:pt idx="150">
                  <c:v>35638.2916666663</c:v>
                </c:pt>
                <c:pt idx="151">
                  <c:v>35638.333333332965</c:v>
                </c:pt>
                <c:pt idx="152">
                  <c:v>35638.374999999629</c:v>
                </c:pt>
                <c:pt idx="153">
                  <c:v>35638.416666666293</c:v>
                </c:pt>
                <c:pt idx="154">
                  <c:v>35638.458333332957</c:v>
                </c:pt>
                <c:pt idx="155">
                  <c:v>35638.499999999622</c:v>
                </c:pt>
                <c:pt idx="156">
                  <c:v>35638.541666666286</c:v>
                </c:pt>
                <c:pt idx="157">
                  <c:v>35638.58333333295</c:v>
                </c:pt>
                <c:pt idx="158">
                  <c:v>35638.624999999614</c:v>
                </c:pt>
                <c:pt idx="159">
                  <c:v>35638.666666666279</c:v>
                </c:pt>
                <c:pt idx="160">
                  <c:v>35638.708333332943</c:v>
                </c:pt>
                <c:pt idx="161">
                  <c:v>35638.749999999607</c:v>
                </c:pt>
                <c:pt idx="162">
                  <c:v>35638.791666666271</c:v>
                </c:pt>
                <c:pt idx="163">
                  <c:v>35638.833333332936</c:v>
                </c:pt>
                <c:pt idx="164">
                  <c:v>35638.8749999996</c:v>
                </c:pt>
                <c:pt idx="165">
                  <c:v>35638.916666666264</c:v>
                </c:pt>
                <c:pt idx="166">
                  <c:v>35638.958333332928</c:v>
                </c:pt>
                <c:pt idx="167">
                  <c:v>35638.999999999593</c:v>
                </c:pt>
                <c:pt idx="168">
                  <c:v>35639.041666666257</c:v>
                </c:pt>
                <c:pt idx="169">
                  <c:v>35639.083333332921</c:v>
                </c:pt>
                <c:pt idx="170">
                  <c:v>35639.124999999585</c:v>
                </c:pt>
                <c:pt idx="171">
                  <c:v>35639.16666666625</c:v>
                </c:pt>
                <c:pt idx="172">
                  <c:v>35639.208333332914</c:v>
                </c:pt>
                <c:pt idx="173">
                  <c:v>35639.249999999578</c:v>
                </c:pt>
                <c:pt idx="174">
                  <c:v>35639.291666666242</c:v>
                </c:pt>
                <c:pt idx="175">
                  <c:v>35639.333333332906</c:v>
                </c:pt>
                <c:pt idx="176">
                  <c:v>35639.374999999571</c:v>
                </c:pt>
                <c:pt idx="177">
                  <c:v>35639.416666666235</c:v>
                </c:pt>
                <c:pt idx="178">
                  <c:v>35639.458333332899</c:v>
                </c:pt>
                <c:pt idx="179">
                  <c:v>35639.499999999563</c:v>
                </c:pt>
                <c:pt idx="180">
                  <c:v>35639.541666666228</c:v>
                </c:pt>
                <c:pt idx="181">
                  <c:v>35639.583333332892</c:v>
                </c:pt>
                <c:pt idx="182">
                  <c:v>35639.624999999556</c:v>
                </c:pt>
                <c:pt idx="183">
                  <c:v>35639.66666666622</c:v>
                </c:pt>
                <c:pt idx="184">
                  <c:v>35639.708333332885</c:v>
                </c:pt>
                <c:pt idx="185">
                  <c:v>35639.749999999549</c:v>
                </c:pt>
                <c:pt idx="186">
                  <c:v>35639.791666666213</c:v>
                </c:pt>
                <c:pt idx="187">
                  <c:v>35639.833333332877</c:v>
                </c:pt>
                <c:pt idx="188">
                  <c:v>35639.874999999542</c:v>
                </c:pt>
                <c:pt idx="189">
                  <c:v>35639.916666666206</c:v>
                </c:pt>
                <c:pt idx="190">
                  <c:v>35639.95833333287</c:v>
                </c:pt>
                <c:pt idx="191">
                  <c:v>35639.999999999534</c:v>
                </c:pt>
                <c:pt idx="192">
                  <c:v>35640.041666666199</c:v>
                </c:pt>
                <c:pt idx="193">
                  <c:v>35640.083333332863</c:v>
                </c:pt>
                <c:pt idx="194">
                  <c:v>35640.124999999527</c:v>
                </c:pt>
                <c:pt idx="195">
                  <c:v>35640.166666666191</c:v>
                </c:pt>
                <c:pt idx="196">
                  <c:v>35640.208333332856</c:v>
                </c:pt>
                <c:pt idx="197">
                  <c:v>35640.24999999952</c:v>
                </c:pt>
                <c:pt idx="198">
                  <c:v>35640.291666666184</c:v>
                </c:pt>
                <c:pt idx="199">
                  <c:v>35640.333333332848</c:v>
                </c:pt>
                <c:pt idx="200">
                  <c:v>35640.374999999513</c:v>
                </c:pt>
                <c:pt idx="201">
                  <c:v>35640.416666666177</c:v>
                </c:pt>
                <c:pt idx="202">
                  <c:v>35640.458333332841</c:v>
                </c:pt>
                <c:pt idx="203">
                  <c:v>35640.499999999505</c:v>
                </c:pt>
                <c:pt idx="204">
                  <c:v>35640.541666666169</c:v>
                </c:pt>
                <c:pt idx="205">
                  <c:v>35640.583333332834</c:v>
                </c:pt>
                <c:pt idx="206">
                  <c:v>35640.624999999498</c:v>
                </c:pt>
                <c:pt idx="207">
                  <c:v>35640.666666666162</c:v>
                </c:pt>
                <c:pt idx="208">
                  <c:v>35640.708333332826</c:v>
                </c:pt>
                <c:pt idx="209">
                  <c:v>35640.749999999491</c:v>
                </c:pt>
                <c:pt idx="210">
                  <c:v>35640.791666666155</c:v>
                </c:pt>
                <c:pt idx="211">
                  <c:v>35640.833333332819</c:v>
                </c:pt>
                <c:pt idx="212">
                  <c:v>35640.874999999483</c:v>
                </c:pt>
                <c:pt idx="213">
                  <c:v>35640.916666666148</c:v>
                </c:pt>
                <c:pt idx="214">
                  <c:v>35640.958333332812</c:v>
                </c:pt>
                <c:pt idx="215">
                  <c:v>35640.999999999476</c:v>
                </c:pt>
                <c:pt idx="216">
                  <c:v>35641.04166666614</c:v>
                </c:pt>
                <c:pt idx="217">
                  <c:v>35641.083333332805</c:v>
                </c:pt>
                <c:pt idx="218">
                  <c:v>35641.124999999469</c:v>
                </c:pt>
                <c:pt idx="219">
                  <c:v>35641.166666666133</c:v>
                </c:pt>
                <c:pt idx="220">
                  <c:v>35641.208333332797</c:v>
                </c:pt>
                <c:pt idx="221">
                  <c:v>35641.249999999462</c:v>
                </c:pt>
                <c:pt idx="222">
                  <c:v>35641.291666666126</c:v>
                </c:pt>
                <c:pt idx="223">
                  <c:v>35641.33333333279</c:v>
                </c:pt>
                <c:pt idx="224">
                  <c:v>35641.374999999454</c:v>
                </c:pt>
                <c:pt idx="225">
                  <c:v>35641.416666666119</c:v>
                </c:pt>
                <c:pt idx="226">
                  <c:v>35641.458333332783</c:v>
                </c:pt>
                <c:pt idx="227">
                  <c:v>35641.499999999447</c:v>
                </c:pt>
                <c:pt idx="228">
                  <c:v>35641.541666666111</c:v>
                </c:pt>
                <c:pt idx="229">
                  <c:v>35641.583333332776</c:v>
                </c:pt>
                <c:pt idx="230">
                  <c:v>35641.62499999944</c:v>
                </c:pt>
                <c:pt idx="231">
                  <c:v>35641.666666666104</c:v>
                </c:pt>
                <c:pt idx="232">
                  <c:v>35641.708333332768</c:v>
                </c:pt>
                <c:pt idx="233">
                  <c:v>35641.749999999432</c:v>
                </c:pt>
                <c:pt idx="234">
                  <c:v>35641.791666666097</c:v>
                </c:pt>
                <c:pt idx="235">
                  <c:v>35641.833333332761</c:v>
                </c:pt>
                <c:pt idx="236">
                  <c:v>35641.874999999425</c:v>
                </c:pt>
                <c:pt idx="237">
                  <c:v>35641.916666666089</c:v>
                </c:pt>
                <c:pt idx="238">
                  <c:v>35641.958333332754</c:v>
                </c:pt>
                <c:pt idx="239">
                  <c:v>35641.999999999418</c:v>
                </c:pt>
                <c:pt idx="240">
                  <c:v>35642.041666666082</c:v>
                </c:pt>
                <c:pt idx="241">
                  <c:v>35642.083333332746</c:v>
                </c:pt>
                <c:pt idx="242">
                  <c:v>35642.124999999411</c:v>
                </c:pt>
                <c:pt idx="243">
                  <c:v>35642.166666666075</c:v>
                </c:pt>
                <c:pt idx="244">
                  <c:v>35642.208333332739</c:v>
                </c:pt>
                <c:pt idx="245">
                  <c:v>35642.249999999403</c:v>
                </c:pt>
                <c:pt idx="246">
                  <c:v>35642.291666666068</c:v>
                </c:pt>
                <c:pt idx="247">
                  <c:v>35642.333333332732</c:v>
                </c:pt>
                <c:pt idx="248">
                  <c:v>35642.374999999396</c:v>
                </c:pt>
                <c:pt idx="249">
                  <c:v>35642.41666666606</c:v>
                </c:pt>
                <c:pt idx="250">
                  <c:v>35642.458333332725</c:v>
                </c:pt>
                <c:pt idx="251">
                  <c:v>35642.499999999389</c:v>
                </c:pt>
                <c:pt idx="252">
                  <c:v>35642.541666666053</c:v>
                </c:pt>
                <c:pt idx="253">
                  <c:v>35642.583333332717</c:v>
                </c:pt>
                <c:pt idx="254">
                  <c:v>35642.624999999382</c:v>
                </c:pt>
                <c:pt idx="255">
                  <c:v>35642.666666666046</c:v>
                </c:pt>
                <c:pt idx="256">
                  <c:v>35642.70833333271</c:v>
                </c:pt>
                <c:pt idx="257">
                  <c:v>35642.749999999374</c:v>
                </c:pt>
                <c:pt idx="258">
                  <c:v>35642.791666666039</c:v>
                </c:pt>
                <c:pt idx="259">
                  <c:v>35642.833333332703</c:v>
                </c:pt>
                <c:pt idx="260">
                  <c:v>35642.874999999367</c:v>
                </c:pt>
                <c:pt idx="261">
                  <c:v>35642.916666666031</c:v>
                </c:pt>
                <c:pt idx="262">
                  <c:v>35642.958333332695</c:v>
                </c:pt>
              </c:numCache>
            </c:numRef>
          </c:xVal>
          <c:yVal>
            <c:numRef>
              <c:f>'Pad set temp simulator 2014'!$Y$4:$Y$266</c:f>
              <c:numCache>
                <c:formatCode>General</c:formatCode>
                <c:ptCount val="263"/>
                <c:pt idx="0">
                  <c:v>60</c:v>
                </c:pt>
                <c:pt idx="1">
                  <c:v>85</c:v>
                </c:pt>
                <c:pt idx="2">
                  <c:v>90</c:v>
                </c:pt>
                <c:pt idx="3">
                  <c:v>87</c:v>
                </c:pt>
                <c:pt idx="4">
                  <c:v>87</c:v>
                </c:pt>
                <c:pt idx="5">
                  <c:v>90</c:v>
                </c:pt>
                <c:pt idx="6">
                  <c:v>85</c:v>
                </c:pt>
                <c:pt idx="7">
                  <c:v>77</c:v>
                </c:pt>
                <c:pt idx="8">
                  <c:v>68</c:v>
                </c:pt>
                <c:pt idx="9">
                  <c:v>65</c:v>
                </c:pt>
                <c:pt idx="10">
                  <c:v>62</c:v>
                </c:pt>
                <c:pt idx="11">
                  <c:v>60</c:v>
                </c:pt>
                <c:pt idx="12">
                  <c:v>54</c:v>
                </c:pt>
                <c:pt idx="13">
                  <c:v>52</c:v>
                </c:pt>
                <c:pt idx="14">
                  <c:v>52</c:v>
                </c:pt>
                <c:pt idx="15">
                  <c:v>49</c:v>
                </c:pt>
                <c:pt idx="16">
                  <c:v>52</c:v>
                </c:pt>
                <c:pt idx="17">
                  <c:v>52</c:v>
                </c:pt>
                <c:pt idx="18">
                  <c:v>60</c:v>
                </c:pt>
                <c:pt idx="19">
                  <c:v>75</c:v>
                </c:pt>
                <c:pt idx="20">
                  <c:v>72</c:v>
                </c:pt>
                <c:pt idx="21">
                  <c:v>74</c:v>
                </c:pt>
                <c:pt idx="22">
                  <c:v>79</c:v>
                </c:pt>
                <c:pt idx="23">
                  <c:v>85</c:v>
                </c:pt>
                <c:pt idx="24">
                  <c:v>82</c:v>
                </c:pt>
                <c:pt idx="25">
                  <c:v>91</c:v>
                </c:pt>
                <c:pt idx="26">
                  <c:v>85</c:v>
                </c:pt>
                <c:pt idx="27">
                  <c:v>85</c:v>
                </c:pt>
                <c:pt idx="28">
                  <c:v>88</c:v>
                </c:pt>
                <c:pt idx="29">
                  <c:v>91</c:v>
                </c:pt>
                <c:pt idx="30">
                  <c:v>82</c:v>
                </c:pt>
                <c:pt idx="31">
                  <c:v>77</c:v>
                </c:pt>
                <c:pt idx="32">
                  <c:v>70</c:v>
                </c:pt>
                <c:pt idx="33">
                  <c:v>68</c:v>
                </c:pt>
                <c:pt idx="34">
                  <c:v>60</c:v>
                </c:pt>
                <c:pt idx="35">
                  <c:v>56</c:v>
                </c:pt>
                <c:pt idx="36">
                  <c:v>54</c:v>
                </c:pt>
                <c:pt idx="37">
                  <c:v>53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54</c:v>
                </c:pt>
                <c:pt idx="42">
                  <c:v>60</c:v>
                </c:pt>
                <c:pt idx="43">
                  <c:v>75</c:v>
                </c:pt>
                <c:pt idx="44">
                  <c:v>82</c:v>
                </c:pt>
                <c:pt idx="45">
                  <c:v>77</c:v>
                </c:pt>
                <c:pt idx="46">
                  <c:v>82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88</c:v>
                </c:pt>
                <c:pt idx="52">
                  <c:v>88</c:v>
                </c:pt>
                <c:pt idx="53">
                  <c:v>88</c:v>
                </c:pt>
                <c:pt idx="54">
                  <c:v>85</c:v>
                </c:pt>
                <c:pt idx="55">
                  <c:v>70</c:v>
                </c:pt>
                <c:pt idx="56">
                  <c:v>65</c:v>
                </c:pt>
                <c:pt idx="57">
                  <c:v>62</c:v>
                </c:pt>
                <c:pt idx="58">
                  <c:v>56</c:v>
                </c:pt>
                <c:pt idx="59">
                  <c:v>53</c:v>
                </c:pt>
                <c:pt idx="60">
                  <c:v>49</c:v>
                </c:pt>
                <c:pt idx="61">
                  <c:v>49</c:v>
                </c:pt>
                <c:pt idx="62">
                  <c:v>49</c:v>
                </c:pt>
                <c:pt idx="63">
                  <c:v>74</c:v>
                </c:pt>
                <c:pt idx="64">
                  <c:v>88</c:v>
                </c:pt>
                <c:pt idx="65">
                  <c:v>88</c:v>
                </c:pt>
                <c:pt idx="66">
                  <c:v>85</c:v>
                </c:pt>
                <c:pt idx="67">
                  <c:v>91</c:v>
                </c:pt>
                <c:pt idx="68">
                  <c:v>88</c:v>
                </c:pt>
                <c:pt idx="69">
                  <c:v>88</c:v>
                </c:pt>
                <c:pt idx="70">
                  <c:v>91</c:v>
                </c:pt>
                <c:pt idx="71">
                  <c:v>94</c:v>
                </c:pt>
                <c:pt idx="72">
                  <c:v>94</c:v>
                </c:pt>
                <c:pt idx="73">
                  <c:v>87</c:v>
                </c:pt>
                <c:pt idx="74">
                  <c:v>87</c:v>
                </c:pt>
                <c:pt idx="75">
                  <c:v>90</c:v>
                </c:pt>
                <c:pt idx="76">
                  <c:v>94</c:v>
                </c:pt>
                <c:pt idx="77">
                  <c:v>94</c:v>
                </c:pt>
                <c:pt idx="78">
                  <c:v>91</c:v>
                </c:pt>
                <c:pt idx="79">
                  <c:v>79</c:v>
                </c:pt>
                <c:pt idx="80">
                  <c:v>79</c:v>
                </c:pt>
                <c:pt idx="81">
                  <c:v>79</c:v>
                </c:pt>
                <c:pt idx="82">
                  <c:v>80</c:v>
                </c:pt>
                <c:pt idx="83">
                  <c:v>70</c:v>
                </c:pt>
                <c:pt idx="84">
                  <c:v>68</c:v>
                </c:pt>
                <c:pt idx="85">
                  <c:v>62</c:v>
                </c:pt>
                <c:pt idx="86">
                  <c:v>56</c:v>
                </c:pt>
                <c:pt idx="87">
                  <c:v>54</c:v>
                </c:pt>
                <c:pt idx="88">
                  <c:v>58</c:v>
                </c:pt>
                <c:pt idx="89">
                  <c:v>59</c:v>
                </c:pt>
                <c:pt idx="90">
                  <c:v>70</c:v>
                </c:pt>
                <c:pt idx="91">
                  <c:v>77</c:v>
                </c:pt>
                <c:pt idx="92">
                  <c:v>77</c:v>
                </c:pt>
                <c:pt idx="93">
                  <c:v>82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94</c:v>
                </c:pt>
                <c:pt idx="98">
                  <c:v>97</c:v>
                </c:pt>
                <c:pt idx="99">
                  <c:v>97</c:v>
                </c:pt>
                <c:pt idx="100">
                  <c:v>94</c:v>
                </c:pt>
                <c:pt idx="101">
                  <c:v>94</c:v>
                </c:pt>
                <c:pt idx="102">
                  <c:v>91</c:v>
                </c:pt>
                <c:pt idx="103">
                  <c:v>82</c:v>
                </c:pt>
                <c:pt idx="104">
                  <c:v>72</c:v>
                </c:pt>
                <c:pt idx="105">
                  <c:v>66</c:v>
                </c:pt>
                <c:pt idx="106">
                  <c:v>60</c:v>
                </c:pt>
                <c:pt idx="107">
                  <c:v>58</c:v>
                </c:pt>
                <c:pt idx="108">
                  <c:v>58</c:v>
                </c:pt>
                <c:pt idx="109">
                  <c:v>51</c:v>
                </c:pt>
                <c:pt idx="110">
                  <c:v>49</c:v>
                </c:pt>
                <c:pt idx="111">
                  <c:v>48</c:v>
                </c:pt>
                <c:pt idx="112">
                  <c:v>47</c:v>
                </c:pt>
                <c:pt idx="113">
                  <c:v>49</c:v>
                </c:pt>
                <c:pt idx="114">
                  <c:v>59</c:v>
                </c:pt>
                <c:pt idx="115">
                  <c:v>72</c:v>
                </c:pt>
                <c:pt idx="116">
                  <c:v>72</c:v>
                </c:pt>
                <c:pt idx="117">
                  <c:v>79</c:v>
                </c:pt>
                <c:pt idx="118">
                  <c:v>79</c:v>
                </c:pt>
                <c:pt idx="119">
                  <c:v>85</c:v>
                </c:pt>
                <c:pt idx="120">
                  <c:v>88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94</c:v>
                </c:pt>
                <c:pt idx="125">
                  <c:v>94</c:v>
                </c:pt>
                <c:pt idx="126">
                  <c:v>91</c:v>
                </c:pt>
                <c:pt idx="127">
                  <c:v>80</c:v>
                </c:pt>
                <c:pt idx="128">
                  <c:v>72</c:v>
                </c:pt>
                <c:pt idx="129">
                  <c:v>66</c:v>
                </c:pt>
                <c:pt idx="130">
                  <c:v>62</c:v>
                </c:pt>
                <c:pt idx="131">
                  <c:v>60</c:v>
                </c:pt>
                <c:pt idx="132">
                  <c:v>56</c:v>
                </c:pt>
                <c:pt idx="133">
                  <c:v>53</c:v>
                </c:pt>
                <c:pt idx="134">
                  <c:v>51</c:v>
                </c:pt>
                <c:pt idx="135">
                  <c:v>49</c:v>
                </c:pt>
                <c:pt idx="136">
                  <c:v>51</c:v>
                </c:pt>
                <c:pt idx="137">
                  <c:v>56</c:v>
                </c:pt>
                <c:pt idx="138">
                  <c:v>64</c:v>
                </c:pt>
                <c:pt idx="139">
                  <c:v>70</c:v>
                </c:pt>
                <c:pt idx="140">
                  <c:v>72</c:v>
                </c:pt>
                <c:pt idx="141">
                  <c:v>75</c:v>
                </c:pt>
                <c:pt idx="142">
                  <c:v>80</c:v>
                </c:pt>
                <c:pt idx="143">
                  <c:v>88</c:v>
                </c:pt>
                <c:pt idx="144">
                  <c:v>85</c:v>
                </c:pt>
                <c:pt idx="145">
                  <c:v>85</c:v>
                </c:pt>
                <c:pt idx="146">
                  <c:v>85</c:v>
                </c:pt>
                <c:pt idx="147">
                  <c:v>91</c:v>
                </c:pt>
                <c:pt idx="148">
                  <c:v>94</c:v>
                </c:pt>
                <c:pt idx="149">
                  <c:v>94</c:v>
                </c:pt>
                <c:pt idx="150">
                  <c:v>85</c:v>
                </c:pt>
                <c:pt idx="151">
                  <c:v>75</c:v>
                </c:pt>
                <c:pt idx="152">
                  <c:v>62</c:v>
                </c:pt>
                <c:pt idx="153">
                  <c:v>60</c:v>
                </c:pt>
                <c:pt idx="154">
                  <c:v>54</c:v>
                </c:pt>
                <c:pt idx="155">
                  <c:v>54</c:v>
                </c:pt>
                <c:pt idx="156">
                  <c:v>49</c:v>
                </c:pt>
                <c:pt idx="157">
                  <c:v>48</c:v>
                </c:pt>
                <c:pt idx="158">
                  <c:v>45</c:v>
                </c:pt>
                <c:pt idx="159">
                  <c:v>48</c:v>
                </c:pt>
                <c:pt idx="160">
                  <c:v>51</c:v>
                </c:pt>
                <c:pt idx="161">
                  <c:v>58</c:v>
                </c:pt>
                <c:pt idx="162">
                  <c:v>70</c:v>
                </c:pt>
                <c:pt idx="163">
                  <c:v>70</c:v>
                </c:pt>
                <c:pt idx="164">
                  <c:v>72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85</c:v>
                </c:pt>
                <c:pt idx="169">
                  <c:v>88</c:v>
                </c:pt>
                <c:pt idx="170">
                  <c:v>85</c:v>
                </c:pt>
                <c:pt idx="171">
                  <c:v>91</c:v>
                </c:pt>
                <c:pt idx="172">
                  <c:v>94</c:v>
                </c:pt>
                <c:pt idx="173">
                  <c:v>85</c:v>
                </c:pt>
                <c:pt idx="174">
                  <c:v>77</c:v>
                </c:pt>
                <c:pt idx="175">
                  <c:v>68</c:v>
                </c:pt>
                <c:pt idx="176">
                  <c:v>60</c:v>
                </c:pt>
                <c:pt idx="177">
                  <c:v>54</c:v>
                </c:pt>
                <c:pt idx="178">
                  <c:v>49</c:v>
                </c:pt>
                <c:pt idx="179">
                  <c:v>51</c:v>
                </c:pt>
                <c:pt idx="180">
                  <c:v>42</c:v>
                </c:pt>
                <c:pt idx="181">
                  <c:v>42</c:v>
                </c:pt>
                <c:pt idx="182">
                  <c:v>43</c:v>
                </c:pt>
                <c:pt idx="183">
                  <c:v>46</c:v>
                </c:pt>
                <c:pt idx="184">
                  <c:v>49</c:v>
                </c:pt>
                <c:pt idx="185">
                  <c:v>56</c:v>
                </c:pt>
                <c:pt idx="186">
                  <c:v>68</c:v>
                </c:pt>
                <c:pt idx="187">
                  <c:v>65</c:v>
                </c:pt>
                <c:pt idx="188">
                  <c:v>70</c:v>
                </c:pt>
                <c:pt idx="189">
                  <c:v>72</c:v>
                </c:pt>
                <c:pt idx="190">
                  <c:v>77</c:v>
                </c:pt>
                <c:pt idx="191">
                  <c:v>74</c:v>
                </c:pt>
                <c:pt idx="192">
                  <c:v>79</c:v>
                </c:pt>
                <c:pt idx="193">
                  <c:v>88</c:v>
                </c:pt>
                <c:pt idx="194">
                  <c:v>85</c:v>
                </c:pt>
                <c:pt idx="195">
                  <c:v>82</c:v>
                </c:pt>
                <c:pt idx="196">
                  <c:v>90</c:v>
                </c:pt>
                <c:pt idx="197">
                  <c:v>82</c:v>
                </c:pt>
                <c:pt idx="198">
                  <c:v>77</c:v>
                </c:pt>
                <c:pt idx="199">
                  <c:v>63</c:v>
                </c:pt>
                <c:pt idx="200">
                  <c:v>60</c:v>
                </c:pt>
                <c:pt idx="201">
                  <c:v>54</c:v>
                </c:pt>
                <c:pt idx="202">
                  <c:v>51</c:v>
                </c:pt>
                <c:pt idx="203">
                  <c:v>47</c:v>
                </c:pt>
                <c:pt idx="204">
                  <c:v>48</c:v>
                </c:pt>
                <c:pt idx="205">
                  <c:v>46</c:v>
                </c:pt>
                <c:pt idx="206">
                  <c:v>43</c:v>
                </c:pt>
                <c:pt idx="207">
                  <c:v>46</c:v>
                </c:pt>
                <c:pt idx="208">
                  <c:v>60</c:v>
                </c:pt>
                <c:pt idx="209">
                  <c:v>70</c:v>
                </c:pt>
                <c:pt idx="210">
                  <c:v>74</c:v>
                </c:pt>
                <c:pt idx="211">
                  <c:v>77</c:v>
                </c:pt>
                <c:pt idx="212">
                  <c:v>82</c:v>
                </c:pt>
                <c:pt idx="213">
                  <c:v>85</c:v>
                </c:pt>
                <c:pt idx="214">
                  <c:v>85</c:v>
                </c:pt>
                <c:pt idx="215">
                  <c:v>88</c:v>
                </c:pt>
                <c:pt idx="216">
                  <c:v>85</c:v>
                </c:pt>
                <c:pt idx="217">
                  <c:v>91</c:v>
                </c:pt>
                <c:pt idx="218">
                  <c:v>94</c:v>
                </c:pt>
                <c:pt idx="219">
                  <c:v>90</c:v>
                </c:pt>
                <c:pt idx="220">
                  <c:v>88</c:v>
                </c:pt>
                <c:pt idx="221">
                  <c:v>85</c:v>
                </c:pt>
                <c:pt idx="222">
                  <c:v>82</c:v>
                </c:pt>
                <c:pt idx="223">
                  <c:v>82</c:v>
                </c:pt>
                <c:pt idx="224">
                  <c:v>82</c:v>
                </c:pt>
                <c:pt idx="225">
                  <c:v>77</c:v>
                </c:pt>
                <c:pt idx="226">
                  <c:v>74</c:v>
                </c:pt>
                <c:pt idx="227">
                  <c:v>72</c:v>
                </c:pt>
                <c:pt idx="228">
                  <c:v>91</c:v>
                </c:pt>
                <c:pt idx="229">
                  <c:v>82</c:v>
                </c:pt>
                <c:pt idx="230">
                  <c:v>70</c:v>
                </c:pt>
                <c:pt idx="231">
                  <c:v>70</c:v>
                </c:pt>
                <c:pt idx="232">
                  <c:v>70</c:v>
                </c:pt>
                <c:pt idx="233">
                  <c:v>72</c:v>
                </c:pt>
                <c:pt idx="234">
                  <c:v>79</c:v>
                </c:pt>
                <c:pt idx="235">
                  <c:v>74</c:v>
                </c:pt>
                <c:pt idx="236">
                  <c:v>77</c:v>
                </c:pt>
                <c:pt idx="237">
                  <c:v>77</c:v>
                </c:pt>
                <c:pt idx="238">
                  <c:v>77</c:v>
                </c:pt>
                <c:pt idx="239">
                  <c:v>77</c:v>
                </c:pt>
                <c:pt idx="240">
                  <c:v>74</c:v>
                </c:pt>
                <c:pt idx="241">
                  <c:v>77</c:v>
                </c:pt>
                <c:pt idx="242">
                  <c:v>79</c:v>
                </c:pt>
                <c:pt idx="243">
                  <c:v>79</c:v>
                </c:pt>
                <c:pt idx="244">
                  <c:v>82</c:v>
                </c:pt>
                <c:pt idx="245">
                  <c:v>79</c:v>
                </c:pt>
                <c:pt idx="246">
                  <c:v>76</c:v>
                </c:pt>
                <c:pt idx="247">
                  <c:v>72</c:v>
                </c:pt>
                <c:pt idx="248">
                  <c:v>70</c:v>
                </c:pt>
                <c:pt idx="249">
                  <c:v>65</c:v>
                </c:pt>
                <c:pt idx="250">
                  <c:v>59</c:v>
                </c:pt>
                <c:pt idx="251">
                  <c:v>54</c:v>
                </c:pt>
                <c:pt idx="252">
                  <c:v>49</c:v>
                </c:pt>
                <c:pt idx="253">
                  <c:v>49</c:v>
                </c:pt>
                <c:pt idx="254">
                  <c:v>45</c:v>
                </c:pt>
                <c:pt idx="255">
                  <c:v>45</c:v>
                </c:pt>
                <c:pt idx="256">
                  <c:v>47</c:v>
                </c:pt>
                <c:pt idx="257">
                  <c:v>51</c:v>
                </c:pt>
                <c:pt idx="258">
                  <c:v>59</c:v>
                </c:pt>
                <c:pt idx="259">
                  <c:v>61</c:v>
                </c:pt>
                <c:pt idx="260">
                  <c:v>65</c:v>
                </c:pt>
                <c:pt idx="261">
                  <c:v>71</c:v>
                </c:pt>
                <c:pt idx="262">
                  <c:v>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BF-45BB-B59F-86C7BD8C373D}"/>
            </c:ext>
          </c:extLst>
        </c:ser>
        <c:ser>
          <c:idx val="6"/>
          <c:order val="2"/>
          <c:tx>
            <c:strRef>
              <c:f>'Pad set temp simulator 2014'!$AF$1</c:f>
              <c:strCache>
                <c:ptCount val="1"/>
                <c:pt idx="0">
                  <c:v>Incoming air temp</c:v>
                </c:pt>
              </c:strCache>
            </c:strRef>
          </c:tx>
          <c:spPr>
            <a:ln w="635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'Pad set temp simulator 2014'!$V$4:$V$266</c:f>
              <c:numCache>
                <c:formatCode>[$-409]m/d/yy\ h:mm\ AM/PM;@</c:formatCode>
                <c:ptCount val="263"/>
                <c:pt idx="0">
                  <c:v>35632.041666666664</c:v>
                </c:pt>
                <c:pt idx="1">
                  <c:v>35632.083333333328</c:v>
                </c:pt>
                <c:pt idx="2">
                  <c:v>35632.124999999993</c:v>
                </c:pt>
                <c:pt idx="3">
                  <c:v>35632.166666666657</c:v>
                </c:pt>
                <c:pt idx="4">
                  <c:v>35632.208333333321</c:v>
                </c:pt>
                <c:pt idx="5">
                  <c:v>35632.249999999985</c:v>
                </c:pt>
                <c:pt idx="6">
                  <c:v>35632.29166666665</c:v>
                </c:pt>
                <c:pt idx="7">
                  <c:v>35632.333333333314</c:v>
                </c:pt>
                <c:pt idx="8">
                  <c:v>35632.374999999978</c:v>
                </c:pt>
                <c:pt idx="9">
                  <c:v>35632.416666666642</c:v>
                </c:pt>
                <c:pt idx="10">
                  <c:v>35632.458333333307</c:v>
                </c:pt>
                <c:pt idx="11">
                  <c:v>35632.499999999971</c:v>
                </c:pt>
                <c:pt idx="12">
                  <c:v>35632.541666666635</c:v>
                </c:pt>
                <c:pt idx="13">
                  <c:v>35632.583333333299</c:v>
                </c:pt>
                <c:pt idx="14">
                  <c:v>35632.624999999964</c:v>
                </c:pt>
                <c:pt idx="15">
                  <c:v>35632.666666666628</c:v>
                </c:pt>
                <c:pt idx="16">
                  <c:v>35632.708333333292</c:v>
                </c:pt>
                <c:pt idx="17">
                  <c:v>35632.749999999956</c:v>
                </c:pt>
                <c:pt idx="18">
                  <c:v>35632.791666666621</c:v>
                </c:pt>
                <c:pt idx="19">
                  <c:v>35632.833333333285</c:v>
                </c:pt>
                <c:pt idx="20">
                  <c:v>35632.874999999949</c:v>
                </c:pt>
                <c:pt idx="21">
                  <c:v>35632.916666666613</c:v>
                </c:pt>
                <c:pt idx="22">
                  <c:v>35632.958333333278</c:v>
                </c:pt>
                <c:pt idx="23">
                  <c:v>35632.999999999942</c:v>
                </c:pt>
                <c:pt idx="24">
                  <c:v>35633.041666666606</c:v>
                </c:pt>
                <c:pt idx="25">
                  <c:v>35633.08333333327</c:v>
                </c:pt>
                <c:pt idx="26">
                  <c:v>35633.124999999935</c:v>
                </c:pt>
                <c:pt idx="27">
                  <c:v>35633.166666666599</c:v>
                </c:pt>
                <c:pt idx="28">
                  <c:v>35633.208333333263</c:v>
                </c:pt>
                <c:pt idx="29">
                  <c:v>35633.249999999927</c:v>
                </c:pt>
                <c:pt idx="30">
                  <c:v>35633.291666666591</c:v>
                </c:pt>
                <c:pt idx="31">
                  <c:v>35633.333333333256</c:v>
                </c:pt>
                <c:pt idx="32">
                  <c:v>35633.37499999992</c:v>
                </c:pt>
                <c:pt idx="33">
                  <c:v>35633.416666666584</c:v>
                </c:pt>
                <c:pt idx="34">
                  <c:v>35633.458333333248</c:v>
                </c:pt>
                <c:pt idx="35">
                  <c:v>35633.499999999913</c:v>
                </c:pt>
                <c:pt idx="36">
                  <c:v>35633.541666666577</c:v>
                </c:pt>
                <c:pt idx="37">
                  <c:v>35633.583333333241</c:v>
                </c:pt>
                <c:pt idx="38">
                  <c:v>35633.624999999905</c:v>
                </c:pt>
                <c:pt idx="39">
                  <c:v>35633.66666666657</c:v>
                </c:pt>
                <c:pt idx="40">
                  <c:v>35633.708333333234</c:v>
                </c:pt>
                <c:pt idx="41">
                  <c:v>35633.749999999898</c:v>
                </c:pt>
                <c:pt idx="42">
                  <c:v>35633.791666666562</c:v>
                </c:pt>
                <c:pt idx="43">
                  <c:v>35633.833333333227</c:v>
                </c:pt>
                <c:pt idx="44">
                  <c:v>35633.874999999891</c:v>
                </c:pt>
                <c:pt idx="45">
                  <c:v>35633.916666666555</c:v>
                </c:pt>
                <c:pt idx="46">
                  <c:v>35633.958333333219</c:v>
                </c:pt>
                <c:pt idx="47">
                  <c:v>35633.999999999884</c:v>
                </c:pt>
                <c:pt idx="48">
                  <c:v>35634.041666666548</c:v>
                </c:pt>
                <c:pt idx="49">
                  <c:v>35634.083333333212</c:v>
                </c:pt>
                <c:pt idx="50">
                  <c:v>35634.124999999876</c:v>
                </c:pt>
                <c:pt idx="51">
                  <c:v>35634.166666666541</c:v>
                </c:pt>
                <c:pt idx="52">
                  <c:v>35634.208333333205</c:v>
                </c:pt>
                <c:pt idx="53">
                  <c:v>35634.249999999869</c:v>
                </c:pt>
                <c:pt idx="54">
                  <c:v>35634.291666666533</c:v>
                </c:pt>
                <c:pt idx="55">
                  <c:v>35634.333333333198</c:v>
                </c:pt>
                <c:pt idx="56">
                  <c:v>35634.374999999862</c:v>
                </c:pt>
                <c:pt idx="57">
                  <c:v>35634.416666666526</c:v>
                </c:pt>
                <c:pt idx="58">
                  <c:v>35634.45833333319</c:v>
                </c:pt>
                <c:pt idx="59">
                  <c:v>35634.499999999854</c:v>
                </c:pt>
                <c:pt idx="60">
                  <c:v>35634.541666666519</c:v>
                </c:pt>
                <c:pt idx="61">
                  <c:v>35634.583333333183</c:v>
                </c:pt>
                <c:pt idx="62">
                  <c:v>35634.624999999847</c:v>
                </c:pt>
                <c:pt idx="63">
                  <c:v>35634.666666666511</c:v>
                </c:pt>
                <c:pt idx="64">
                  <c:v>35634.708333333176</c:v>
                </c:pt>
                <c:pt idx="65">
                  <c:v>35634.74999999984</c:v>
                </c:pt>
                <c:pt idx="66">
                  <c:v>35634.791666666504</c:v>
                </c:pt>
                <c:pt idx="67">
                  <c:v>35634.833333333168</c:v>
                </c:pt>
                <c:pt idx="68">
                  <c:v>35634.874999999833</c:v>
                </c:pt>
                <c:pt idx="69">
                  <c:v>35634.916666666497</c:v>
                </c:pt>
                <c:pt idx="70">
                  <c:v>35634.958333333161</c:v>
                </c:pt>
                <c:pt idx="71">
                  <c:v>35634.999999999825</c:v>
                </c:pt>
                <c:pt idx="72">
                  <c:v>35635.04166666649</c:v>
                </c:pt>
                <c:pt idx="73">
                  <c:v>35635.083333333154</c:v>
                </c:pt>
                <c:pt idx="74">
                  <c:v>35635.124999999818</c:v>
                </c:pt>
                <c:pt idx="75">
                  <c:v>35635.166666666482</c:v>
                </c:pt>
                <c:pt idx="76">
                  <c:v>35635.208333333147</c:v>
                </c:pt>
                <c:pt idx="77">
                  <c:v>35635.249999999811</c:v>
                </c:pt>
                <c:pt idx="78">
                  <c:v>35635.291666666475</c:v>
                </c:pt>
                <c:pt idx="79">
                  <c:v>35635.333333333139</c:v>
                </c:pt>
                <c:pt idx="80">
                  <c:v>35635.374999999804</c:v>
                </c:pt>
                <c:pt idx="81">
                  <c:v>35635.416666666468</c:v>
                </c:pt>
                <c:pt idx="82">
                  <c:v>35635.458333333132</c:v>
                </c:pt>
                <c:pt idx="83">
                  <c:v>35635.499999999796</c:v>
                </c:pt>
                <c:pt idx="84">
                  <c:v>35635.541666666461</c:v>
                </c:pt>
                <c:pt idx="85">
                  <c:v>35635.583333333125</c:v>
                </c:pt>
                <c:pt idx="86">
                  <c:v>35635.624999999789</c:v>
                </c:pt>
                <c:pt idx="87">
                  <c:v>35635.666666666453</c:v>
                </c:pt>
                <c:pt idx="88">
                  <c:v>35635.708333333117</c:v>
                </c:pt>
                <c:pt idx="89">
                  <c:v>35635.749999999782</c:v>
                </c:pt>
                <c:pt idx="90">
                  <c:v>35635.791666666446</c:v>
                </c:pt>
                <c:pt idx="91">
                  <c:v>35635.83333333311</c:v>
                </c:pt>
                <c:pt idx="92">
                  <c:v>35635.874999999774</c:v>
                </c:pt>
                <c:pt idx="93">
                  <c:v>35635.916666666439</c:v>
                </c:pt>
                <c:pt idx="94">
                  <c:v>35635.958333333103</c:v>
                </c:pt>
                <c:pt idx="95">
                  <c:v>35635.999999999767</c:v>
                </c:pt>
                <c:pt idx="96">
                  <c:v>35636.041666666431</c:v>
                </c:pt>
                <c:pt idx="97">
                  <c:v>35636.083333333096</c:v>
                </c:pt>
                <c:pt idx="98">
                  <c:v>35636.12499999976</c:v>
                </c:pt>
                <c:pt idx="99">
                  <c:v>35636.166666666424</c:v>
                </c:pt>
                <c:pt idx="100">
                  <c:v>35636.208333333088</c:v>
                </c:pt>
                <c:pt idx="101">
                  <c:v>35636.249999999753</c:v>
                </c:pt>
                <c:pt idx="102">
                  <c:v>35636.291666666417</c:v>
                </c:pt>
                <c:pt idx="103">
                  <c:v>35636.333333333081</c:v>
                </c:pt>
                <c:pt idx="104">
                  <c:v>35636.374999999745</c:v>
                </c:pt>
                <c:pt idx="105">
                  <c:v>35636.41666666641</c:v>
                </c:pt>
                <c:pt idx="106">
                  <c:v>35636.458333333074</c:v>
                </c:pt>
                <c:pt idx="107">
                  <c:v>35636.499999999738</c:v>
                </c:pt>
                <c:pt idx="108">
                  <c:v>35636.541666666402</c:v>
                </c:pt>
                <c:pt idx="109">
                  <c:v>35636.583333333067</c:v>
                </c:pt>
                <c:pt idx="110">
                  <c:v>35636.624999999731</c:v>
                </c:pt>
                <c:pt idx="111">
                  <c:v>35636.666666666395</c:v>
                </c:pt>
                <c:pt idx="112">
                  <c:v>35636.708333333059</c:v>
                </c:pt>
                <c:pt idx="113">
                  <c:v>35636.749999999724</c:v>
                </c:pt>
                <c:pt idx="114">
                  <c:v>35636.791666666388</c:v>
                </c:pt>
                <c:pt idx="115">
                  <c:v>35636.833333333052</c:v>
                </c:pt>
                <c:pt idx="116">
                  <c:v>35636.874999999716</c:v>
                </c:pt>
                <c:pt idx="117">
                  <c:v>35636.91666666638</c:v>
                </c:pt>
                <c:pt idx="118">
                  <c:v>35636.958333333045</c:v>
                </c:pt>
                <c:pt idx="119">
                  <c:v>35636.999999999709</c:v>
                </c:pt>
                <c:pt idx="120">
                  <c:v>35637.041666666373</c:v>
                </c:pt>
                <c:pt idx="121">
                  <c:v>35637.083333333037</c:v>
                </c:pt>
                <c:pt idx="122">
                  <c:v>35637.124999999702</c:v>
                </c:pt>
                <c:pt idx="123">
                  <c:v>35637.166666666366</c:v>
                </c:pt>
                <c:pt idx="124">
                  <c:v>35637.20833333303</c:v>
                </c:pt>
                <c:pt idx="125">
                  <c:v>35637.249999999694</c:v>
                </c:pt>
                <c:pt idx="126">
                  <c:v>35637.291666666359</c:v>
                </c:pt>
                <c:pt idx="127">
                  <c:v>35637.333333333023</c:v>
                </c:pt>
                <c:pt idx="128">
                  <c:v>35637.374999999687</c:v>
                </c:pt>
                <c:pt idx="129">
                  <c:v>35637.416666666351</c:v>
                </c:pt>
                <c:pt idx="130">
                  <c:v>35637.458333333016</c:v>
                </c:pt>
                <c:pt idx="131">
                  <c:v>35637.49999999968</c:v>
                </c:pt>
                <c:pt idx="132">
                  <c:v>35637.541666666344</c:v>
                </c:pt>
                <c:pt idx="133">
                  <c:v>35637.583333333008</c:v>
                </c:pt>
                <c:pt idx="134">
                  <c:v>35637.624999999673</c:v>
                </c:pt>
                <c:pt idx="135">
                  <c:v>35637.666666666337</c:v>
                </c:pt>
                <c:pt idx="136">
                  <c:v>35637.708333333001</c:v>
                </c:pt>
                <c:pt idx="137">
                  <c:v>35637.749999999665</c:v>
                </c:pt>
                <c:pt idx="138">
                  <c:v>35637.79166666633</c:v>
                </c:pt>
                <c:pt idx="139">
                  <c:v>35637.833333332994</c:v>
                </c:pt>
                <c:pt idx="140">
                  <c:v>35637.874999999658</c:v>
                </c:pt>
                <c:pt idx="141">
                  <c:v>35637.916666666322</c:v>
                </c:pt>
                <c:pt idx="142">
                  <c:v>35637.958333332987</c:v>
                </c:pt>
                <c:pt idx="143">
                  <c:v>35637.999999999651</c:v>
                </c:pt>
                <c:pt idx="144">
                  <c:v>35638.041666666315</c:v>
                </c:pt>
                <c:pt idx="145">
                  <c:v>35638.083333332979</c:v>
                </c:pt>
                <c:pt idx="146">
                  <c:v>35638.124999999643</c:v>
                </c:pt>
                <c:pt idx="147">
                  <c:v>35638.166666666308</c:v>
                </c:pt>
                <c:pt idx="148">
                  <c:v>35638.208333332972</c:v>
                </c:pt>
                <c:pt idx="149">
                  <c:v>35638.249999999636</c:v>
                </c:pt>
                <c:pt idx="150">
                  <c:v>35638.2916666663</c:v>
                </c:pt>
                <c:pt idx="151">
                  <c:v>35638.333333332965</c:v>
                </c:pt>
                <c:pt idx="152">
                  <c:v>35638.374999999629</c:v>
                </c:pt>
                <c:pt idx="153">
                  <c:v>35638.416666666293</c:v>
                </c:pt>
                <c:pt idx="154">
                  <c:v>35638.458333332957</c:v>
                </c:pt>
                <c:pt idx="155">
                  <c:v>35638.499999999622</c:v>
                </c:pt>
                <c:pt idx="156">
                  <c:v>35638.541666666286</c:v>
                </c:pt>
                <c:pt idx="157">
                  <c:v>35638.58333333295</c:v>
                </c:pt>
                <c:pt idx="158">
                  <c:v>35638.624999999614</c:v>
                </c:pt>
                <c:pt idx="159">
                  <c:v>35638.666666666279</c:v>
                </c:pt>
                <c:pt idx="160">
                  <c:v>35638.708333332943</c:v>
                </c:pt>
                <c:pt idx="161">
                  <c:v>35638.749999999607</c:v>
                </c:pt>
                <c:pt idx="162">
                  <c:v>35638.791666666271</c:v>
                </c:pt>
                <c:pt idx="163">
                  <c:v>35638.833333332936</c:v>
                </c:pt>
                <c:pt idx="164">
                  <c:v>35638.8749999996</c:v>
                </c:pt>
                <c:pt idx="165">
                  <c:v>35638.916666666264</c:v>
                </c:pt>
                <c:pt idx="166">
                  <c:v>35638.958333332928</c:v>
                </c:pt>
                <c:pt idx="167">
                  <c:v>35638.999999999593</c:v>
                </c:pt>
                <c:pt idx="168">
                  <c:v>35639.041666666257</c:v>
                </c:pt>
                <c:pt idx="169">
                  <c:v>35639.083333332921</c:v>
                </c:pt>
                <c:pt idx="170">
                  <c:v>35639.124999999585</c:v>
                </c:pt>
                <c:pt idx="171">
                  <c:v>35639.16666666625</c:v>
                </c:pt>
                <c:pt idx="172">
                  <c:v>35639.208333332914</c:v>
                </c:pt>
                <c:pt idx="173">
                  <c:v>35639.249999999578</c:v>
                </c:pt>
                <c:pt idx="174">
                  <c:v>35639.291666666242</c:v>
                </c:pt>
                <c:pt idx="175">
                  <c:v>35639.333333332906</c:v>
                </c:pt>
                <c:pt idx="176">
                  <c:v>35639.374999999571</c:v>
                </c:pt>
                <c:pt idx="177">
                  <c:v>35639.416666666235</c:v>
                </c:pt>
                <c:pt idx="178">
                  <c:v>35639.458333332899</c:v>
                </c:pt>
                <c:pt idx="179">
                  <c:v>35639.499999999563</c:v>
                </c:pt>
                <c:pt idx="180">
                  <c:v>35639.541666666228</c:v>
                </c:pt>
                <c:pt idx="181">
                  <c:v>35639.583333332892</c:v>
                </c:pt>
                <c:pt idx="182">
                  <c:v>35639.624999999556</c:v>
                </c:pt>
                <c:pt idx="183">
                  <c:v>35639.66666666622</c:v>
                </c:pt>
                <c:pt idx="184">
                  <c:v>35639.708333332885</c:v>
                </c:pt>
                <c:pt idx="185">
                  <c:v>35639.749999999549</c:v>
                </c:pt>
                <c:pt idx="186">
                  <c:v>35639.791666666213</c:v>
                </c:pt>
                <c:pt idx="187">
                  <c:v>35639.833333332877</c:v>
                </c:pt>
                <c:pt idx="188">
                  <c:v>35639.874999999542</c:v>
                </c:pt>
                <c:pt idx="189">
                  <c:v>35639.916666666206</c:v>
                </c:pt>
                <c:pt idx="190">
                  <c:v>35639.95833333287</c:v>
                </c:pt>
                <c:pt idx="191">
                  <c:v>35639.999999999534</c:v>
                </c:pt>
                <c:pt idx="192">
                  <c:v>35640.041666666199</c:v>
                </c:pt>
                <c:pt idx="193">
                  <c:v>35640.083333332863</c:v>
                </c:pt>
                <c:pt idx="194">
                  <c:v>35640.124999999527</c:v>
                </c:pt>
                <c:pt idx="195">
                  <c:v>35640.166666666191</c:v>
                </c:pt>
                <c:pt idx="196">
                  <c:v>35640.208333332856</c:v>
                </c:pt>
                <c:pt idx="197">
                  <c:v>35640.24999999952</c:v>
                </c:pt>
                <c:pt idx="198">
                  <c:v>35640.291666666184</c:v>
                </c:pt>
                <c:pt idx="199">
                  <c:v>35640.333333332848</c:v>
                </c:pt>
                <c:pt idx="200">
                  <c:v>35640.374999999513</c:v>
                </c:pt>
                <c:pt idx="201">
                  <c:v>35640.416666666177</c:v>
                </c:pt>
                <c:pt idx="202">
                  <c:v>35640.458333332841</c:v>
                </c:pt>
                <c:pt idx="203">
                  <c:v>35640.499999999505</c:v>
                </c:pt>
                <c:pt idx="204">
                  <c:v>35640.541666666169</c:v>
                </c:pt>
                <c:pt idx="205">
                  <c:v>35640.583333332834</c:v>
                </c:pt>
                <c:pt idx="206">
                  <c:v>35640.624999999498</c:v>
                </c:pt>
                <c:pt idx="207">
                  <c:v>35640.666666666162</c:v>
                </c:pt>
                <c:pt idx="208">
                  <c:v>35640.708333332826</c:v>
                </c:pt>
                <c:pt idx="209">
                  <c:v>35640.749999999491</c:v>
                </c:pt>
                <c:pt idx="210">
                  <c:v>35640.791666666155</c:v>
                </c:pt>
                <c:pt idx="211">
                  <c:v>35640.833333332819</c:v>
                </c:pt>
                <c:pt idx="212">
                  <c:v>35640.874999999483</c:v>
                </c:pt>
                <c:pt idx="213">
                  <c:v>35640.916666666148</c:v>
                </c:pt>
                <c:pt idx="214">
                  <c:v>35640.958333332812</c:v>
                </c:pt>
                <c:pt idx="215">
                  <c:v>35640.999999999476</c:v>
                </c:pt>
                <c:pt idx="216">
                  <c:v>35641.04166666614</c:v>
                </c:pt>
                <c:pt idx="217">
                  <c:v>35641.083333332805</c:v>
                </c:pt>
                <c:pt idx="218">
                  <c:v>35641.124999999469</c:v>
                </c:pt>
                <c:pt idx="219">
                  <c:v>35641.166666666133</c:v>
                </c:pt>
                <c:pt idx="220">
                  <c:v>35641.208333332797</c:v>
                </c:pt>
                <c:pt idx="221">
                  <c:v>35641.249999999462</c:v>
                </c:pt>
                <c:pt idx="222">
                  <c:v>35641.291666666126</c:v>
                </c:pt>
                <c:pt idx="223">
                  <c:v>35641.33333333279</c:v>
                </c:pt>
                <c:pt idx="224">
                  <c:v>35641.374999999454</c:v>
                </c:pt>
                <c:pt idx="225">
                  <c:v>35641.416666666119</c:v>
                </c:pt>
                <c:pt idx="226">
                  <c:v>35641.458333332783</c:v>
                </c:pt>
                <c:pt idx="227">
                  <c:v>35641.499999999447</c:v>
                </c:pt>
                <c:pt idx="228">
                  <c:v>35641.541666666111</c:v>
                </c:pt>
                <c:pt idx="229">
                  <c:v>35641.583333332776</c:v>
                </c:pt>
                <c:pt idx="230">
                  <c:v>35641.62499999944</c:v>
                </c:pt>
                <c:pt idx="231">
                  <c:v>35641.666666666104</c:v>
                </c:pt>
                <c:pt idx="232">
                  <c:v>35641.708333332768</c:v>
                </c:pt>
                <c:pt idx="233">
                  <c:v>35641.749999999432</c:v>
                </c:pt>
                <c:pt idx="234">
                  <c:v>35641.791666666097</c:v>
                </c:pt>
                <c:pt idx="235">
                  <c:v>35641.833333332761</c:v>
                </c:pt>
                <c:pt idx="236">
                  <c:v>35641.874999999425</c:v>
                </c:pt>
                <c:pt idx="237">
                  <c:v>35641.916666666089</c:v>
                </c:pt>
                <c:pt idx="238">
                  <c:v>35641.958333332754</c:v>
                </c:pt>
                <c:pt idx="239">
                  <c:v>35641.999999999418</c:v>
                </c:pt>
                <c:pt idx="240">
                  <c:v>35642.041666666082</c:v>
                </c:pt>
                <c:pt idx="241">
                  <c:v>35642.083333332746</c:v>
                </c:pt>
                <c:pt idx="242">
                  <c:v>35642.124999999411</c:v>
                </c:pt>
                <c:pt idx="243">
                  <c:v>35642.166666666075</c:v>
                </c:pt>
                <c:pt idx="244">
                  <c:v>35642.208333332739</c:v>
                </c:pt>
                <c:pt idx="245">
                  <c:v>35642.249999999403</c:v>
                </c:pt>
                <c:pt idx="246">
                  <c:v>35642.291666666068</c:v>
                </c:pt>
                <c:pt idx="247">
                  <c:v>35642.333333332732</c:v>
                </c:pt>
                <c:pt idx="248">
                  <c:v>35642.374999999396</c:v>
                </c:pt>
                <c:pt idx="249">
                  <c:v>35642.41666666606</c:v>
                </c:pt>
                <c:pt idx="250">
                  <c:v>35642.458333332725</c:v>
                </c:pt>
                <c:pt idx="251">
                  <c:v>35642.499999999389</c:v>
                </c:pt>
                <c:pt idx="252">
                  <c:v>35642.541666666053</c:v>
                </c:pt>
                <c:pt idx="253">
                  <c:v>35642.583333332717</c:v>
                </c:pt>
                <c:pt idx="254">
                  <c:v>35642.624999999382</c:v>
                </c:pt>
                <c:pt idx="255">
                  <c:v>35642.666666666046</c:v>
                </c:pt>
                <c:pt idx="256">
                  <c:v>35642.70833333271</c:v>
                </c:pt>
                <c:pt idx="257">
                  <c:v>35642.749999999374</c:v>
                </c:pt>
                <c:pt idx="258">
                  <c:v>35642.791666666039</c:v>
                </c:pt>
                <c:pt idx="259">
                  <c:v>35642.833333332703</c:v>
                </c:pt>
                <c:pt idx="260">
                  <c:v>35642.874999999367</c:v>
                </c:pt>
                <c:pt idx="261">
                  <c:v>35642.916666666031</c:v>
                </c:pt>
                <c:pt idx="262">
                  <c:v>35642.958333332695</c:v>
                </c:pt>
              </c:numCache>
            </c:numRef>
          </c:xVal>
          <c:yVal>
            <c:numRef>
              <c:f>'Pad set temp simulator 2014'!$AF$4:$AF$266</c:f>
              <c:numCache>
                <c:formatCode>0.0</c:formatCode>
                <c:ptCount val="263"/>
                <c:pt idx="0">
                  <c:v>95</c:v>
                </c:pt>
                <c:pt idx="1">
                  <c:v>77</c:v>
                </c:pt>
                <c:pt idx="2">
                  <c:v>75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79</c:v>
                </c:pt>
                <c:pt idx="7">
                  <c:v>82</c:v>
                </c:pt>
                <c:pt idx="8">
                  <c:v>86</c:v>
                </c:pt>
                <c:pt idx="9">
                  <c:v>88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94</c:v>
                </c:pt>
                <c:pt idx="15">
                  <c:v>95</c:v>
                </c:pt>
                <c:pt idx="16">
                  <c:v>93</c:v>
                </c:pt>
                <c:pt idx="17">
                  <c:v>93</c:v>
                </c:pt>
                <c:pt idx="18">
                  <c:v>91</c:v>
                </c:pt>
                <c:pt idx="19">
                  <c:v>85</c:v>
                </c:pt>
                <c:pt idx="20">
                  <c:v>86</c:v>
                </c:pt>
                <c:pt idx="21">
                  <c:v>84</c:v>
                </c:pt>
                <c:pt idx="22">
                  <c:v>82</c:v>
                </c:pt>
                <c:pt idx="23">
                  <c:v>80</c:v>
                </c:pt>
                <c:pt idx="24">
                  <c:v>81</c:v>
                </c:pt>
                <c:pt idx="25">
                  <c:v>78</c:v>
                </c:pt>
                <c:pt idx="26">
                  <c:v>79</c:v>
                </c:pt>
                <c:pt idx="27">
                  <c:v>78</c:v>
                </c:pt>
                <c:pt idx="28">
                  <c:v>77</c:v>
                </c:pt>
                <c:pt idx="29">
                  <c:v>77</c:v>
                </c:pt>
                <c:pt idx="30">
                  <c:v>81</c:v>
                </c:pt>
                <c:pt idx="31">
                  <c:v>84</c:v>
                </c:pt>
                <c:pt idx="32">
                  <c:v>88</c:v>
                </c:pt>
                <c:pt idx="33">
                  <c:v>90</c:v>
                </c:pt>
                <c:pt idx="34">
                  <c:v>92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95</c:v>
                </c:pt>
                <c:pt idx="39">
                  <c:v>96</c:v>
                </c:pt>
                <c:pt idx="40">
                  <c:v>95</c:v>
                </c:pt>
                <c:pt idx="41">
                  <c:v>93</c:v>
                </c:pt>
                <c:pt idx="42">
                  <c:v>91</c:v>
                </c:pt>
                <c:pt idx="43">
                  <c:v>85</c:v>
                </c:pt>
                <c:pt idx="44">
                  <c:v>82</c:v>
                </c:pt>
                <c:pt idx="45">
                  <c:v>84</c:v>
                </c:pt>
                <c:pt idx="46">
                  <c:v>82</c:v>
                </c:pt>
                <c:pt idx="47">
                  <c:v>81</c:v>
                </c:pt>
                <c:pt idx="48">
                  <c:v>81</c:v>
                </c:pt>
                <c:pt idx="49">
                  <c:v>80</c:v>
                </c:pt>
                <c:pt idx="50">
                  <c:v>80</c:v>
                </c:pt>
                <c:pt idx="51">
                  <c:v>78</c:v>
                </c:pt>
                <c:pt idx="52">
                  <c:v>78</c:v>
                </c:pt>
                <c:pt idx="53">
                  <c:v>78</c:v>
                </c:pt>
                <c:pt idx="54">
                  <c:v>80</c:v>
                </c:pt>
                <c:pt idx="55">
                  <c:v>86</c:v>
                </c:pt>
                <c:pt idx="56">
                  <c:v>88</c:v>
                </c:pt>
                <c:pt idx="57">
                  <c:v>91</c:v>
                </c:pt>
                <c:pt idx="58">
                  <c:v>93</c:v>
                </c:pt>
                <c:pt idx="59">
                  <c:v>95</c:v>
                </c:pt>
                <c:pt idx="60">
                  <c:v>96</c:v>
                </c:pt>
                <c:pt idx="61">
                  <c:v>97</c:v>
                </c:pt>
                <c:pt idx="62">
                  <c:v>97</c:v>
                </c:pt>
                <c:pt idx="63">
                  <c:v>83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77</c:v>
                </c:pt>
                <c:pt idx="68">
                  <c:v>78</c:v>
                </c:pt>
                <c:pt idx="69">
                  <c:v>78</c:v>
                </c:pt>
                <c:pt idx="70">
                  <c:v>77</c:v>
                </c:pt>
                <c:pt idx="71">
                  <c:v>76</c:v>
                </c:pt>
                <c:pt idx="72">
                  <c:v>75</c:v>
                </c:pt>
                <c:pt idx="73">
                  <c:v>76</c:v>
                </c:pt>
                <c:pt idx="74">
                  <c:v>76</c:v>
                </c:pt>
                <c:pt idx="75">
                  <c:v>75</c:v>
                </c:pt>
                <c:pt idx="76">
                  <c:v>74</c:v>
                </c:pt>
                <c:pt idx="77">
                  <c:v>74</c:v>
                </c:pt>
                <c:pt idx="78">
                  <c:v>77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87</c:v>
                </c:pt>
                <c:pt idx="84">
                  <c:v>89</c:v>
                </c:pt>
                <c:pt idx="85">
                  <c:v>91</c:v>
                </c:pt>
                <c:pt idx="86">
                  <c:v>92</c:v>
                </c:pt>
                <c:pt idx="87">
                  <c:v>93</c:v>
                </c:pt>
                <c:pt idx="88">
                  <c:v>92</c:v>
                </c:pt>
                <c:pt idx="89">
                  <c:v>90</c:v>
                </c:pt>
                <c:pt idx="90">
                  <c:v>86</c:v>
                </c:pt>
                <c:pt idx="91">
                  <c:v>83</c:v>
                </c:pt>
                <c:pt idx="92">
                  <c:v>82</c:v>
                </c:pt>
                <c:pt idx="93">
                  <c:v>80</c:v>
                </c:pt>
                <c:pt idx="94">
                  <c:v>79</c:v>
                </c:pt>
                <c:pt idx="95">
                  <c:v>78</c:v>
                </c:pt>
                <c:pt idx="96">
                  <c:v>78</c:v>
                </c:pt>
                <c:pt idx="97">
                  <c:v>76</c:v>
                </c:pt>
                <c:pt idx="98">
                  <c:v>74</c:v>
                </c:pt>
                <c:pt idx="99">
                  <c:v>74</c:v>
                </c:pt>
                <c:pt idx="100">
                  <c:v>75</c:v>
                </c:pt>
                <c:pt idx="101">
                  <c:v>75</c:v>
                </c:pt>
                <c:pt idx="102">
                  <c:v>78</c:v>
                </c:pt>
                <c:pt idx="103">
                  <c:v>82</c:v>
                </c:pt>
                <c:pt idx="104">
                  <c:v>86</c:v>
                </c:pt>
                <c:pt idx="105">
                  <c:v>89</c:v>
                </c:pt>
                <c:pt idx="106">
                  <c:v>91</c:v>
                </c:pt>
                <c:pt idx="107">
                  <c:v>92</c:v>
                </c:pt>
                <c:pt idx="108">
                  <c:v>92</c:v>
                </c:pt>
                <c:pt idx="109">
                  <c:v>94</c:v>
                </c:pt>
                <c:pt idx="110">
                  <c:v>96</c:v>
                </c:pt>
                <c:pt idx="111">
                  <c:v>96</c:v>
                </c:pt>
                <c:pt idx="112">
                  <c:v>95</c:v>
                </c:pt>
                <c:pt idx="113">
                  <c:v>93</c:v>
                </c:pt>
                <c:pt idx="114">
                  <c:v>90</c:v>
                </c:pt>
                <c:pt idx="115">
                  <c:v>85</c:v>
                </c:pt>
                <c:pt idx="116">
                  <c:v>84</c:v>
                </c:pt>
                <c:pt idx="117">
                  <c:v>81</c:v>
                </c:pt>
                <c:pt idx="118">
                  <c:v>82</c:v>
                </c:pt>
                <c:pt idx="119">
                  <c:v>80</c:v>
                </c:pt>
                <c:pt idx="120">
                  <c:v>79</c:v>
                </c:pt>
                <c:pt idx="121">
                  <c:v>78</c:v>
                </c:pt>
                <c:pt idx="122">
                  <c:v>77</c:v>
                </c:pt>
                <c:pt idx="123">
                  <c:v>77</c:v>
                </c:pt>
                <c:pt idx="124">
                  <c:v>76</c:v>
                </c:pt>
                <c:pt idx="125">
                  <c:v>76</c:v>
                </c:pt>
                <c:pt idx="126">
                  <c:v>79</c:v>
                </c:pt>
                <c:pt idx="127">
                  <c:v>84</c:v>
                </c:pt>
                <c:pt idx="128">
                  <c:v>87</c:v>
                </c:pt>
                <c:pt idx="129">
                  <c:v>90</c:v>
                </c:pt>
                <c:pt idx="130">
                  <c:v>92</c:v>
                </c:pt>
                <c:pt idx="131">
                  <c:v>93</c:v>
                </c:pt>
                <c:pt idx="132">
                  <c:v>93</c:v>
                </c:pt>
                <c:pt idx="133">
                  <c:v>95</c:v>
                </c:pt>
                <c:pt idx="134">
                  <c:v>95</c:v>
                </c:pt>
                <c:pt idx="135">
                  <c:v>96</c:v>
                </c:pt>
                <c:pt idx="136">
                  <c:v>95</c:v>
                </c:pt>
                <c:pt idx="137">
                  <c:v>93</c:v>
                </c:pt>
                <c:pt idx="138">
                  <c:v>90</c:v>
                </c:pt>
                <c:pt idx="139">
                  <c:v>86</c:v>
                </c:pt>
                <c:pt idx="140">
                  <c:v>86</c:v>
                </c:pt>
                <c:pt idx="141">
                  <c:v>85</c:v>
                </c:pt>
                <c:pt idx="142">
                  <c:v>83</c:v>
                </c:pt>
                <c:pt idx="143">
                  <c:v>80</c:v>
                </c:pt>
                <c:pt idx="144">
                  <c:v>81</c:v>
                </c:pt>
                <c:pt idx="145">
                  <c:v>80</c:v>
                </c:pt>
                <c:pt idx="146">
                  <c:v>80</c:v>
                </c:pt>
                <c:pt idx="147">
                  <c:v>78</c:v>
                </c:pt>
                <c:pt idx="148">
                  <c:v>77</c:v>
                </c:pt>
                <c:pt idx="149">
                  <c:v>76</c:v>
                </c:pt>
                <c:pt idx="150">
                  <c:v>81</c:v>
                </c:pt>
                <c:pt idx="151">
                  <c:v>86</c:v>
                </c:pt>
                <c:pt idx="152">
                  <c:v>92</c:v>
                </c:pt>
                <c:pt idx="153">
                  <c:v>92</c:v>
                </c:pt>
                <c:pt idx="154">
                  <c:v>94</c:v>
                </c:pt>
                <c:pt idx="155">
                  <c:v>94</c:v>
                </c:pt>
                <c:pt idx="156">
                  <c:v>97</c:v>
                </c:pt>
                <c:pt idx="157">
                  <c:v>98</c:v>
                </c:pt>
                <c:pt idx="158">
                  <c:v>98</c:v>
                </c:pt>
                <c:pt idx="159">
                  <c:v>96</c:v>
                </c:pt>
                <c:pt idx="160">
                  <c:v>95</c:v>
                </c:pt>
                <c:pt idx="161">
                  <c:v>92</c:v>
                </c:pt>
                <c:pt idx="162">
                  <c:v>87</c:v>
                </c:pt>
                <c:pt idx="163">
                  <c:v>86</c:v>
                </c:pt>
                <c:pt idx="164">
                  <c:v>86</c:v>
                </c:pt>
                <c:pt idx="165">
                  <c:v>83</c:v>
                </c:pt>
                <c:pt idx="166">
                  <c:v>84</c:v>
                </c:pt>
                <c:pt idx="167">
                  <c:v>83</c:v>
                </c:pt>
                <c:pt idx="168">
                  <c:v>81</c:v>
                </c:pt>
                <c:pt idx="169">
                  <c:v>80</c:v>
                </c:pt>
                <c:pt idx="170">
                  <c:v>80</c:v>
                </c:pt>
                <c:pt idx="171">
                  <c:v>78</c:v>
                </c:pt>
                <c:pt idx="172">
                  <c:v>78</c:v>
                </c:pt>
                <c:pt idx="173">
                  <c:v>82</c:v>
                </c:pt>
                <c:pt idx="174">
                  <c:v>86</c:v>
                </c:pt>
                <c:pt idx="175">
                  <c:v>89</c:v>
                </c:pt>
                <c:pt idx="176">
                  <c:v>92</c:v>
                </c:pt>
                <c:pt idx="177">
                  <c:v>94</c:v>
                </c:pt>
                <c:pt idx="178">
                  <c:v>95</c:v>
                </c:pt>
                <c:pt idx="179">
                  <c:v>94</c:v>
                </c:pt>
                <c:pt idx="180">
                  <c:v>97</c:v>
                </c:pt>
                <c:pt idx="181">
                  <c:v>97</c:v>
                </c:pt>
                <c:pt idx="182">
                  <c:v>97</c:v>
                </c:pt>
                <c:pt idx="183">
                  <c:v>95</c:v>
                </c:pt>
                <c:pt idx="184">
                  <c:v>94</c:v>
                </c:pt>
                <c:pt idx="185">
                  <c:v>91</c:v>
                </c:pt>
                <c:pt idx="186">
                  <c:v>86</c:v>
                </c:pt>
                <c:pt idx="187">
                  <c:v>86</c:v>
                </c:pt>
                <c:pt idx="188">
                  <c:v>84</c:v>
                </c:pt>
                <c:pt idx="189">
                  <c:v>83</c:v>
                </c:pt>
                <c:pt idx="190">
                  <c:v>81</c:v>
                </c:pt>
                <c:pt idx="191">
                  <c:v>82</c:v>
                </c:pt>
                <c:pt idx="192">
                  <c:v>80</c:v>
                </c:pt>
                <c:pt idx="193">
                  <c:v>77</c:v>
                </c:pt>
                <c:pt idx="194">
                  <c:v>78</c:v>
                </c:pt>
                <c:pt idx="195">
                  <c:v>79</c:v>
                </c:pt>
                <c:pt idx="196">
                  <c:v>76</c:v>
                </c:pt>
                <c:pt idx="197">
                  <c:v>80</c:v>
                </c:pt>
                <c:pt idx="198">
                  <c:v>83</c:v>
                </c:pt>
                <c:pt idx="199">
                  <c:v>89</c:v>
                </c:pt>
                <c:pt idx="200">
                  <c:v>91</c:v>
                </c:pt>
                <c:pt idx="201">
                  <c:v>93</c:v>
                </c:pt>
                <c:pt idx="202">
                  <c:v>94</c:v>
                </c:pt>
                <c:pt idx="203">
                  <c:v>95</c:v>
                </c:pt>
                <c:pt idx="204">
                  <c:v>96</c:v>
                </c:pt>
                <c:pt idx="205">
                  <c:v>97</c:v>
                </c:pt>
                <c:pt idx="206">
                  <c:v>98</c:v>
                </c:pt>
                <c:pt idx="207">
                  <c:v>97</c:v>
                </c:pt>
                <c:pt idx="208">
                  <c:v>91</c:v>
                </c:pt>
                <c:pt idx="209">
                  <c:v>85</c:v>
                </c:pt>
                <c:pt idx="210">
                  <c:v>82</c:v>
                </c:pt>
                <c:pt idx="211">
                  <c:v>81</c:v>
                </c:pt>
                <c:pt idx="212">
                  <c:v>79</c:v>
                </c:pt>
                <c:pt idx="213">
                  <c:v>78</c:v>
                </c:pt>
                <c:pt idx="214">
                  <c:v>78</c:v>
                </c:pt>
                <c:pt idx="215">
                  <c:v>77</c:v>
                </c:pt>
                <c:pt idx="216">
                  <c:v>78</c:v>
                </c:pt>
                <c:pt idx="217">
                  <c:v>77</c:v>
                </c:pt>
                <c:pt idx="218">
                  <c:v>76</c:v>
                </c:pt>
                <c:pt idx="219">
                  <c:v>76</c:v>
                </c:pt>
                <c:pt idx="220">
                  <c:v>77</c:v>
                </c:pt>
                <c:pt idx="221">
                  <c:v>79</c:v>
                </c:pt>
                <c:pt idx="222">
                  <c:v>81</c:v>
                </c:pt>
                <c:pt idx="223">
                  <c:v>81</c:v>
                </c:pt>
                <c:pt idx="224">
                  <c:v>81</c:v>
                </c:pt>
                <c:pt idx="225">
                  <c:v>83</c:v>
                </c:pt>
                <c:pt idx="226">
                  <c:v>84</c:v>
                </c:pt>
                <c:pt idx="227">
                  <c:v>85</c:v>
                </c:pt>
                <c:pt idx="228">
                  <c:v>80</c:v>
                </c:pt>
                <c:pt idx="229">
                  <c:v>82</c:v>
                </c:pt>
                <c:pt idx="230">
                  <c:v>85</c:v>
                </c:pt>
                <c:pt idx="231">
                  <c:v>85</c:v>
                </c:pt>
                <c:pt idx="232">
                  <c:v>85</c:v>
                </c:pt>
                <c:pt idx="233">
                  <c:v>83</c:v>
                </c:pt>
                <c:pt idx="234">
                  <c:v>80</c:v>
                </c:pt>
                <c:pt idx="235">
                  <c:v>82</c:v>
                </c:pt>
                <c:pt idx="236">
                  <c:v>81</c:v>
                </c:pt>
                <c:pt idx="237">
                  <c:v>81</c:v>
                </c:pt>
                <c:pt idx="238">
                  <c:v>80</c:v>
                </c:pt>
                <c:pt idx="239">
                  <c:v>79</c:v>
                </c:pt>
                <c:pt idx="240">
                  <c:v>79</c:v>
                </c:pt>
                <c:pt idx="241">
                  <c:v>78</c:v>
                </c:pt>
                <c:pt idx="242">
                  <c:v>77</c:v>
                </c:pt>
                <c:pt idx="243">
                  <c:v>76</c:v>
                </c:pt>
                <c:pt idx="244">
                  <c:v>75</c:v>
                </c:pt>
                <c:pt idx="245">
                  <c:v>75</c:v>
                </c:pt>
                <c:pt idx="246">
                  <c:v>77</c:v>
                </c:pt>
                <c:pt idx="247">
                  <c:v>80</c:v>
                </c:pt>
                <c:pt idx="248">
                  <c:v>83</c:v>
                </c:pt>
                <c:pt idx="249">
                  <c:v>86</c:v>
                </c:pt>
                <c:pt idx="250">
                  <c:v>89</c:v>
                </c:pt>
                <c:pt idx="251">
                  <c:v>90</c:v>
                </c:pt>
                <c:pt idx="252">
                  <c:v>92</c:v>
                </c:pt>
                <c:pt idx="253">
                  <c:v>91</c:v>
                </c:pt>
                <c:pt idx="254">
                  <c:v>91</c:v>
                </c:pt>
                <c:pt idx="255">
                  <c:v>90</c:v>
                </c:pt>
                <c:pt idx="256">
                  <c:v>88</c:v>
                </c:pt>
                <c:pt idx="257">
                  <c:v>86</c:v>
                </c:pt>
                <c:pt idx="258">
                  <c:v>83</c:v>
                </c:pt>
                <c:pt idx="259">
                  <c:v>82</c:v>
                </c:pt>
                <c:pt idx="260">
                  <c:v>80</c:v>
                </c:pt>
                <c:pt idx="261">
                  <c:v>78</c:v>
                </c:pt>
                <c:pt idx="262">
                  <c:v>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0BF-45BB-B59F-86C7BD8C373D}"/>
            </c:ext>
          </c:extLst>
        </c:ser>
        <c:ser>
          <c:idx val="8"/>
          <c:order val="3"/>
          <c:tx>
            <c:strRef>
              <c:f>'Pad set temp simulator 2014'!$AK$1</c:f>
              <c:strCache>
                <c:ptCount val="1"/>
                <c:pt idx="0">
                  <c:v>house rh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'Pad set temp simulator 2014'!$V$4:$V$266</c:f>
              <c:numCache>
                <c:formatCode>[$-409]m/d/yy\ h:mm\ AM/PM;@</c:formatCode>
                <c:ptCount val="263"/>
                <c:pt idx="0">
                  <c:v>35632.041666666664</c:v>
                </c:pt>
                <c:pt idx="1">
                  <c:v>35632.083333333328</c:v>
                </c:pt>
                <c:pt idx="2">
                  <c:v>35632.124999999993</c:v>
                </c:pt>
                <c:pt idx="3">
                  <c:v>35632.166666666657</c:v>
                </c:pt>
                <c:pt idx="4">
                  <c:v>35632.208333333321</c:v>
                </c:pt>
                <c:pt idx="5">
                  <c:v>35632.249999999985</c:v>
                </c:pt>
                <c:pt idx="6">
                  <c:v>35632.29166666665</c:v>
                </c:pt>
                <c:pt idx="7">
                  <c:v>35632.333333333314</c:v>
                </c:pt>
                <c:pt idx="8">
                  <c:v>35632.374999999978</c:v>
                </c:pt>
                <c:pt idx="9">
                  <c:v>35632.416666666642</c:v>
                </c:pt>
                <c:pt idx="10">
                  <c:v>35632.458333333307</c:v>
                </c:pt>
                <c:pt idx="11">
                  <c:v>35632.499999999971</c:v>
                </c:pt>
                <c:pt idx="12">
                  <c:v>35632.541666666635</c:v>
                </c:pt>
                <c:pt idx="13">
                  <c:v>35632.583333333299</c:v>
                </c:pt>
                <c:pt idx="14">
                  <c:v>35632.624999999964</c:v>
                </c:pt>
                <c:pt idx="15">
                  <c:v>35632.666666666628</c:v>
                </c:pt>
                <c:pt idx="16">
                  <c:v>35632.708333333292</c:v>
                </c:pt>
                <c:pt idx="17">
                  <c:v>35632.749999999956</c:v>
                </c:pt>
                <c:pt idx="18">
                  <c:v>35632.791666666621</c:v>
                </c:pt>
                <c:pt idx="19">
                  <c:v>35632.833333333285</c:v>
                </c:pt>
                <c:pt idx="20">
                  <c:v>35632.874999999949</c:v>
                </c:pt>
                <c:pt idx="21">
                  <c:v>35632.916666666613</c:v>
                </c:pt>
                <c:pt idx="22">
                  <c:v>35632.958333333278</c:v>
                </c:pt>
                <c:pt idx="23">
                  <c:v>35632.999999999942</c:v>
                </c:pt>
                <c:pt idx="24">
                  <c:v>35633.041666666606</c:v>
                </c:pt>
                <c:pt idx="25">
                  <c:v>35633.08333333327</c:v>
                </c:pt>
                <c:pt idx="26">
                  <c:v>35633.124999999935</c:v>
                </c:pt>
                <c:pt idx="27">
                  <c:v>35633.166666666599</c:v>
                </c:pt>
                <c:pt idx="28">
                  <c:v>35633.208333333263</c:v>
                </c:pt>
                <c:pt idx="29">
                  <c:v>35633.249999999927</c:v>
                </c:pt>
                <c:pt idx="30">
                  <c:v>35633.291666666591</c:v>
                </c:pt>
                <c:pt idx="31">
                  <c:v>35633.333333333256</c:v>
                </c:pt>
                <c:pt idx="32">
                  <c:v>35633.37499999992</c:v>
                </c:pt>
                <c:pt idx="33">
                  <c:v>35633.416666666584</c:v>
                </c:pt>
                <c:pt idx="34">
                  <c:v>35633.458333333248</c:v>
                </c:pt>
                <c:pt idx="35">
                  <c:v>35633.499999999913</c:v>
                </c:pt>
                <c:pt idx="36">
                  <c:v>35633.541666666577</c:v>
                </c:pt>
                <c:pt idx="37">
                  <c:v>35633.583333333241</c:v>
                </c:pt>
                <c:pt idx="38">
                  <c:v>35633.624999999905</c:v>
                </c:pt>
                <c:pt idx="39">
                  <c:v>35633.66666666657</c:v>
                </c:pt>
                <c:pt idx="40">
                  <c:v>35633.708333333234</c:v>
                </c:pt>
                <c:pt idx="41">
                  <c:v>35633.749999999898</c:v>
                </c:pt>
                <c:pt idx="42">
                  <c:v>35633.791666666562</c:v>
                </c:pt>
                <c:pt idx="43">
                  <c:v>35633.833333333227</c:v>
                </c:pt>
                <c:pt idx="44">
                  <c:v>35633.874999999891</c:v>
                </c:pt>
                <c:pt idx="45">
                  <c:v>35633.916666666555</c:v>
                </c:pt>
                <c:pt idx="46">
                  <c:v>35633.958333333219</c:v>
                </c:pt>
                <c:pt idx="47">
                  <c:v>35633.999999999884</c:v>
                </c:pt>
                <c:pt idx="48">
                  <c:v>35634.041666666548</c:v>
                </c:pt>
                <c:pt idx="49">
                  <c:v>35634.083333333212</c:v>
                </c:pt>
                <c:pt idx="50">
                  <c:v>35634.124999999876</c:v>
                </c:pt>
                <c:pt idx="51">
                  <c:v>35634.166666666541</c:v>
                </c:pt>
                <c:pt idx="52">
                  <c:v>35634.208333333205</c:v>
                </c:pt>
                <c:pt idx="53">
                  <c:v>35634.249999999869</c:v>
                </c:pt>
                <c:pt idx="54">
                  <c:v>35634.291666666533</c:v>
                </c:pt>
                <c:pt idx="55">
                  <c:v>35634.333333333198</c:v>
                </c:pt>
                <c:pt idx="56">
                  <c:v>35634.374999999862</c:v>
                </c:pt>
                <c:pt idx="57">
                  <c:v>35634.416666666526</c:v>
                </c:pt>
                <c:pt idx="58">
                  <c:v>35634.45833333319</c:v>
                </c:pt>
                <c:pt idx="59">
                  <c:v>35634.499999999854</c:v>
                </c:pt>
                <c:pt idx="60">
                  <c:v>35634.541666666519</c:v>
                </c:pt>
                <c:pt idx="61">
                  <c:v>35634.583333333183</c:v>
                </c:pt>
                <c:pt idx="62">
                  <c:v>35634.624999999847</c:v>
                </c:pt>
                <c:pt idx="63">
                  <c:v>35634.666666666511</c:v>
                </c:pt>
                <c:pt idx="64">
                  <c:v>35634.708333333176</c:v>
                </c:pt>
                <c:pt idx="65">
                  <c:v>35634.74999999984</c:v>
                </c:pt>
                <c:pt idx="66">
                  <c:v>35634.791666666504</c:v>
                </c:pt>
                <c:pt idx="67">
                  <c:v>35634.833333333168</c:v>
                </c:pt>
                <c:pt idx="68">
                  <c:v>35634.874999999833</c:v>
                </c:pt>
                <c:pt idx="69">
                  <c:v>35634.916666666497</c:v>
                </c:pt>
                <c:pt idx="70">
                  <c:v>35634.958333333161</c:v>
                </c:pt>
                <c:pt idx="71">
                  <c:v>35634.999999999825</c:v>
                </c:pt>
                <c:pt idx="72">
                  <c:v>35635.04166666649</c:v>
                </c:pt>
                <c:pt idx="73">
                  <c:v>35635.083333333154</c:v>
                </c:pt>
                <c:pt idx="74">
                  <c:v>35635.124999999818</c:v>
                </c:pt>
                <c:pt idx="75">
                  <c:v>35635.166666666482</c:v>
                </c:pt>
                <c:pt idx="76">
                  <c:v>35635.208333333147</c:v>
                </c:pt>
                <c:pt idx="77">
                  <c:v>35635.249999999811</c:v>
                </c:pt>
                <c:pt idx="78">
                  <c:v>35635.291666666475</c:v>
                </c:pt>
                <c:pt idx="79">
                  <c:v>35635.333333333139</c:v>
                </c:pt>
                <c:pt idx="80">
                  <c:v>35635.374999999804</c:v>
                </c:pt>
                <c:pt idx="81">
                  <c:v>35635.416666666468</c:v>
                </c:pt>
                <c:pt idx="82">
                  <c:v>35635.458333333132</c:v>
                </c:pt>
                <c:pt idx="83">
                  <c:v>35635.499999999796</c:v>
                </c:pt>
                <c:pt idx="84">
                  <c:v>35635.541666666461</c:v>
                </c:pt>
                <c:pt idx="85">
                  <c:v>35635.583333333125</c:v>
                </c:pt>
                <c:pt idx="86">
                  <c:v>35635.624999999789</c:v>
                </c:pt>
                <c:pt idx="87">
                  <c:v>35635.666666666453</c:v>
                </c:pt>
                <c:pt idx="88">
                  <c:v>35635.708333333117</c:v>
                </c:pt>
                <c:pt idx="89">
                  <c:v>35635.749999999782</c:v>
                </c:pt>
                <c:pt idx="90">
                  <c:v>35635.791666666446</c:v>
                </c:pt>
                <c:pt idx="91">
                  <c:v>35635.83333333311</c:v>
                </c:pt>
                <c:pt idx="92">
                  <c:v>35635.874999999774</c:v>
                </c:pt>
                <c:pt idx="93">
                  <c:v>35635.916666666439</c:v>
                </c:pt>
                <c:pt idx="94">
                  <c:v>35635.958333333103</c:v>
                </c:pt>
                <c:pt idx="95">
                  <c:v>35635.999999999767</c:v>
                </c:pt>
                <c:pt idx="96">
                  <c:v>35636.041666666431</c:v>
                </c:pt>
                <c:pt idx="97">
                  <c:v>35636.083333333096</c:v>
                </c:pt>
                <c:pt idx="98">
                  <c:v>35636.12499999976</c:v>
                </c:pt>
                <c:pt idx="99">
                  <c:v>35636.166666666424</c:v>
                </c:pt>
                <c:pt idx="100">
                  <c:v>35636.208333333088</c:v>
                </c:pt>
                <c:pt idx="101">
                  <c:v>35636.249999999753</c:v>
                </c:pt>
                <c:pt idx="102">
                  <c:v>35636.291666666417</c:v>
                </c:pt>
                <c:pt idx="103">
                  <c:v>35636.333333333081</c:v>
                </c:pt>
                <c:pt idx="104">
                  <c:v>35636.374999999745</c:v>
                </c:pt>
                <c:pt idx="105">
                  <c:v>35636.41666666641</c:v>
                </c:pt>
                <c:pt idx="106">
                  <c:v>35636.458333333074</c:v>
                </c:pt>
                <c:pt idx="107">
                  <c:v>35636.499999999738</c:v>
                </c:pt>
                <c:pt idx="108">
                  <c:v>35636.541666666402</c:v>
                </c:pt>
                <c:pt idx="109">
                  <c:v>35636.583333333067</c:v>
                </c:pt>
                <c:pt idx="110">
                  <c:v>35636.624999999731</c:v>
                </c:pt>
                <c:pt idx="111">
                  <c:v>35636.666666666395</c:v>
                </c:pt>
                <c:pt idx="112">
                  <c:v>35636.708333333059</c:v>
                </c:pt>
                <c:pt idx="113">
                  <c:v>35636.749999999724</c:v>
                </c:pt>
                <c:pt idx="114">
                  <c:v>35636.791666666388</c:v>
                </c:pt>
                <c:pt idx="115">
                  <c:v>35636.833333333052</c:v>
                </c:pt>
                <c:pt idx="116">
                  <c:v>35636.874999999716</c:v>
                </c:pt>
                <c:pt idx="117">
                  <c:v>35636.91666666638</c:v>
                </c:pt>
                <c:pt idx="118">
                  <c:v>35636.958333333045</c:v>
                </c:pt>
                <c:pt idx="119">
                  <c:v>35636.999999999709</c:v>
                </c:pt>
                <c:pt idx="120">
                  <c:v>35637.041666666373</c:v>
                </c:pt>
                <c:pt idx="121">
                  <c:v>35637.083333333037</c:v>
                </c:pt>
                <c:pt idx="122">
                  <c:v>35637.124999999702</c:v>
                </c:pt>
                <c:pt idx="123">
                  <c:v>35637.166666666366</c:v>
                </c:pt>
                <c:pt idx="124">
                  <c:v>35637.20833333303</c:v>
                </c:pt>
                <c:pt idx="125">
                  <c:v>35637.249999999694</c:v>
                </c:pt>
                <c:pt idx="126">
                  <c:v>35637.291666666359</c:v>
                </c:pt>
                <c:pt idx="127">
                  <c:v>35637.333333333023</c:v>
                </c:pt>
                <c:pt idx="128">
                  <c:v>35637.374999999687</c:v>
                </c:pt>
                <c:pt idx="129">
                  <c:v>35637.416666666351</c:v>
                </c:pt>
                <c:pt idx="130">
                  <c:v>35637.458333333016</c:v>
                </c:pt>
                <c:pt idx="131">
                  <c:v>35637.49999999968</c:v>
                </c:pt>
                <c:pt idx="132">
                  <c:v>35637.541666666344</c:v>
                </c:pt>
                <c:pt idx="133">
                  <c:v>35637.583333333008</c:v>
                </c:pt>
                <c:pt idx="134">
                  <c:v>35637.624999999673</c:v>
                </c:pt>
                <c:pt idx="135">
                  <c:v>35637.666666666337</c:v>
                </c:pt>
                <c:pt idx="136">
                  <c:v>35637.708333333001</c:v>
                </c:pt>
                <c:pt idx="137">
                  <c:v>35637.749999999665</c:v>
                </c:pt>
                <c:pt idx="138">
                  <c:v>35637.79166666633</c:v>
                </c:pt>
                <c:pt idx="139">
                  <c:v>35637.833333332994</c:v>
                </c:pt>
                <c:pt idx="140">
                  <c:v>35637.874999999658</c:v>
                </c:pt>
                <c:pt idx="141">
                  <c:v>35637.916666666322</c:v>
                </c:pt>
                <c:pt idx="142">
                  <c:v>35637.958333332987</c:v>
                </c:pt>
                <c:pt idx="143">
                  <c:v>35637.999999999651</c:v>
                </c:pt>
                <c:pt idx="144">
                  <c:v>35638.041666666315</c:v>
                </c:pt>
                <c:pt idx="145">
                  <c:v>35638.083333332979</c:v>
                </c:pt>
                <c:pt idx="146">
                  <c:v>35638.124999999643</c:v>
                </c:pt>
                <c:pt idx="147">
                  <c:v>35638.166666666308</c:v>
                </c:pt>
                <c:pt idx="148">
                  <c:v>35638.208333332972</c:v>
                </c:pt>
                <c:pt idx="149">
                  <c:v>35638.249999999636</c:v>
                </c:pt>
                <c:pt idx="150">
                  <c:v>35638.2916666663</c:v>
                </c:pt>
                <c:pt idx="151">
                  <c:v>35638.333333332965</c:v>
                </c:pt>
                <c:pt idx="152">
                  <c:v>35638.374999999629</c:v>
                </c:pt>
                <c:pt idx="153">
                  <c:v>35638.416666666293</c:v>
                </c:pt>
                <c:pt idx="154">
                  <c:v>35638.458333332957</c:v>
                </c:pt>
                <c:pt idx="155">
                  <c:v>35638.499999999622</c:v>
                </c:pt>
                <c:pt idx="156">
                  <c:v>35638.541666666286</c:v>
                </c:pt>
                <c:pt idx="157">
                  <c:v>35638.58333333295</c:v>
                </c:pt>
                <c:pt idx="158">
                  <c:v>35638.624999999614</c:v>
                </c:pt>
                <c:pt idx="159">
                  <c:v>35638.666666666279</c:v>
                </c:pt>
                <c:pt idx="160">
                  <c:v>35638.708333332943</c:v>
                </c:pt>
                <c:pt idx="161">
                  <c:v>35638.749999999607</c:v>
                </c:pt>
                <c:pt idx="162">
                  <c:v>35638.791666666271</c:v>
                </c:pt>
                <c:pt idx="163">
                  <c:v>35638.833333332936</c:v>
                </c:pt>
                <c:pt idx="164">
                  <c:v>35638.8749999996</c:v>
                </c:pt>
                <c:pt idx="165">
                  <c:v>35638.916666666264</c:v>
                </c:pt>
                <c:pt idx="166">
                  <c:v>35638.958333332928</c:v>
                </c:pt>
                <c:pt idx="167">
                  <c:v>35638.999999999593</c:v>
                </c:pt>
                <c:pt idx="168">
                  <c:v>35639.041666666257</c:v>
                </c:pt>
                <c:pt idx="169">
                  <c:v>35639.083333332921</c:v>
                </c:pt>
                <c:pt idx="170">
                  <c:v>35639.124999999585</c:v>
                </c:pt>
                <c:pt idx="171">
                  <c:v>35639.16666666625</c:v>
                </c:pt>
                <c:pt idx="172">
                  <c:v>35639.208333332914</c:v>
                </c:pt>
                <c:pt idx="173">
                  <c:v>35639.249999999578</c:v>
                </c:pt>
                <c:pt idx="174">
                  <c:v>35639.291666666242</c:v>
                </c:pt>
                <c:pt idx="175">
                  <c:v>35639.333333332906</c:v>
                </c:pt>
                <c:pt idx="176">
                  <c:v>35639.374999999571</c:v>
                </c:pt>
                <c:pt idx="177">
                  <c:v>35639.416666666235</c:v>
                </c:pt>
                <c:pt idx="178">
                  <c:v>35639.458333332899</c:v>
                </c:pt>
                <c:pt idx="179">
                  <c:v>35639.499999999563</c:v>
                </c:pt>
                <c:pt idx="180">
                  <c:v>35639.541666666228</c:v>
                </c:pt>
                <c:pt idx="181">
                  <c:v>35639.583333332892</c:v>
                </c:pt>
                <c:pt idx="182">
                  <c:v>35639.624999999556</c:v>
                </c:pt>
                <c:pt idx="183">
                  <c:v>35639.66666666622</c:v>
                </c:pt>
                <c:pt idx="184">
                  <c:v>35639.708333332885</c:v>
                </c:pt>
                <c:pt idx="185">
                  <c:v>35639.749999999549</c:v>
                </c:pt>
                <c:pt idx="186">
                  <c:v>35639.791666666213</c:v>
                </c:pt>
                <c:pt idx="187">
                  <c:v>35639.833333332877</c:v>
                </c:pt>
                <c:pt idx="188">
                  <c:v>35639.874999999542</c:v>
                </c:pt>
                <c:pt idx="189">
                  <c:v>35639.916666666206</c:v>
                </c:pt>
                <c:pt idx="190">
                  <c:v>35639.95833333287</c:v>
                </c:pt>
                <c:pt idx="191">
                  <c:v>35639.999999999534</c:v>
                </c:pt>
                <c:pt idx="192">
                  <c:v>35640.041666666199</c:v>
                </c:pt>
                <c:pt idx="193">
                  <c:v>35640.083333332863</c:v>
                </c:pt>
                <c:pt idx="194">
                  <c:v>35640.124999999527</c:v>
                </c:pt>
                <c:pt idx="195">
                  <c:v>35640.166666666191</c:v>
                </c:pt>
                <c:pt idx="196">
                  <c:v>35640.208333332856</c:v>
                </c:pt>
                <c:pt idx="197">
                  <c:v>35640.24999999952</c:v>
                </c:pt>
                <c:pt idx="198">
                  <c:v>35640.291666666184</c:v>
                </c:pt>
                <c:pt idx="199">
                  <c:v>35640.333333332848</c:v>
                </c:pt>
                <c:pt idx="200">
                  <c:v>35640.374999999513</c:v>
                </c:pt>
                <c:pt idx="201">
                  <c:v>35640.416666666177</c:v>
                </c:pt>
                <c:pt idx="202">
                  <c:v>35640.458333332841</c:v>
                </c:pt>
                <c:pt idx="203">
                  <c:v>35640.499999999505</c:v>
                </c:pt>
                <c:pt idx="204">
                  <c:v>35640.541666666169</c:v>
                </c:pt>
                <c:pt idx="205">
                  <c:v>35640.583333332834</c:v>
                </c:pt>
                <c:pt idx="206">
                  <c:v>35640.624999999498</c:v>
                </c:pt>
                <c:pt idx="207">
                  <c:v>35640.666666666162</c:v>
                </c:pt>
                <c:pt idx="208">
                  <c:v>35640.708333332826</c:v>
                </c:pt>
                <c:pt idx="209">
                  <c:v>35640.749999999491</c:v>
                </c:pt>
                <c:pt idx="210">
                  <c:v>35640.791666666155</c:v>
                </c:pt>
                <c:pt idx="211">
                  <c:v>35640.833333332819</c:v>
                </c:pt>
                <c:pt idx="212">
                  <c:v>35640.874999999483</c:v>
                </c:pt>
                <c:pt idx="213">
                  <c:v>35640.916666666148</c:v>
                </c:pt>
                <c:pt idx="214">
                  <c:v>35640.958333332812</c:v>
                </c:pt>
                <c:pt idx="215">
                  <c:v>35640.999999999476</c:v>
                </c:pt>
                <c:pt idx="216">
                  <c:v>35641.04166666614</c:v>
                </c:pt>
                <c:pt idx="217">
                  <c:v>35641.083333332805</c:v>
                </c:pt>
                <c:pt idx="218">
                  <c:v>35641.124999999469</c:v>
                </c:pt>
                <c:pt idx="219">
                  <c:v>35641.166666666133</c:v>
                </c:pt>
                <c:pt idx="220">
                  <c:v>35641.208333332797</c:v>
                </c:pt>
                <c:pt idx="221">
                  <c:v>35641.249999999462</c:v>
                </c:pt>
                <c:pt idx="222">
                  <c:v>35641.291666666126</c:v>
                </c:pt>
                <c:pt idx="223">
                  <c:v>35641.33333333279</c:v>
                </c:pt>
                <c:pt idx="224">
                  <c:v>35641.374999999454</c:v>
                </c:pt>
                <c:pt idx="225">
                  <c:v>35641.416666666119</c:v>
                </c:pt>
                <c:pt idx="226">
                  <c:v>35641.458333332783</c:v>
                </c:pt>
                <c:pt idx="227">
                  <c:v>35641.499999999447</c:v>
                </c:pt>
                <c:pt idx="228">
                  <c:v>35641.541666666111</c:v>
                </c:pt>
                <c:pt idx="229">
                  <c:v>35641.583333332776</c:v>
                </c:pt>
                <c:pt idx="230">
                  <c:v>35641.62499999944</c:v>
                </c:pt>
                <c:pt idx="231">
                  <c:v>35641.666666666104</c:v>
                </c:pt>
                <c:pt idx="232">
                  <c:v>35641.708333332768</c:v>
                </c:pt>
                <c:pt idx="233">
                  <c:v>35641.749999999432</c:v>
                </c:pt>
                <c:pt idx="234">
                  <c:v>35641.791666666097</c:v>
                </c:pt>
                <c:pt idx="235">
                  <c:v>35641.833333332761</c:v>
                </c:pt>
                <c:pt idx="236">
                  <c:v>35641.874999999425</c:v>
                </c:pt>
                <c:pt idx="237">
                  <c:v>35641.916666666089</c:v>
                </c:pt>
                <c:pt idx="238">
                  <c:v>35641.958333332754</c:v>
                </c:pt>
                <c:pt idx="239">
                  <c:v>35641.999999999418</c:v>
                </c:pt>
                <c:pt idx="240">
                  <c:v>35642.041666666082</c:v>
                </c:pt>
                <c:pt idx="241">
                  <c:v>35642.083333332746</c:v>
                </c:pt>
                <c:pt idx="242">
                  <c:v>35642.124999999411</c:v>
                </c:pt>
                <c:pt idx="243">
                  <c:v>35642.166666666075</c:v>
                </c:pt>
                <c:pt idx="244">
                  <c:v>35642.208333332739</c:v>
                </c:pt>
                <c:pt idx="245">
                  <c:v>35642.249999999403</c:v>
                </c:pt>
                <c:pt idx="246">
                  <c:v>35642.291666666068</c:v>
                </c:pt>
                <c:pt idx="247">
                  <c:v>35642.333333332732</c:v>
                </c:pt>
                <c:pt idx="248">
                  <c:v>35642.374999999396</c:v>
                </c:pt>
                <c:pt idx="249">
                  <c:v>35642.41666666606</c:v>
                </c:pt>
                <c:pt idx="250">
                  <c:v>35642.458333332725</c:v>
                </c:pt>
                <c:pt idx="251">
                  <c:v>35642.499999999389</c:v>
                </c:pt>
                <c:pt idx="252">
                  <c:v>35642.541666666053</c:v>
                </c:pt>
                <c:pt idx="253">
                  <c:v>35642.583333332717</c:v>
                </c:pt>
                <c:pt idx="254">
                  <c:v>35642.624999999382</c:v>
                </c:pt>
                <c:pt idx="255">
                  <c:v>35642.666666666046</c:v>
                </c:pt>
                <c:pt idx="256">
                  <c:v>35642.70833333271</c:v>
                </c:pt>
                <c:pt idx="257">
                  <c:v>35642.749999999374</c:v>
                </c:pt>
                <c:pt idx="258">
                  <c:v>35642.791666666039</c:v>
                </c:pt>
                <c:pt idx="259">
                  <c:v>35642.833333332703</c:v>
                </c:pt>
                <c:pt idx="260">
                  <c:v>35642.874999999367</c:v>
                </c:pt>
                <c:pt idx="261">
                  <c:v>35642.916666666031</c:v>
                </c:pt>
                <c:pt idx="262">
                  <c:v>35642.958333332695</c:v>
                </c:pt>
              </c:numCache>
            </c:numRef>
          </c:xVal>
          <c:yVal>
            <c:numRef>
              <c:f>'Pad set temp simulator 2014'!$AK$4:$AK$266</c:f>
              <c:numCache>
                <c:formatCode>0.00</c:formatCode>
                <c:ptCount val="263"/>
                <c:pt idx="0">
                  <c:v>60</c:v>
                </c:pt>
                <c:pt idx="1">
                  <c:v>85</c:v>
                </c:pt>
                <c:pt idx="2">
                  <c:v>90</c:v>
                </c:pt>
                <c:pt idx="3">
                  <c:v>87</c:v>
                </c:pt>
                <c:pt idx="4">
                  <c:v>87</c:v>
                </c:pt>
                <c:pt idx="5">
                  <c:v>90</c:v>
                </c:pt>
                <c:pt idx="6">
                  <c:v>85</c:v>
                </c:pt>
                <c:pt idx="7">
                  <c:v>77</c:v>
                </c:pt>
                <c:pt idx="8">
                  <c:v>68</c:v>
                </c:pt>
                <c:pt idx="9">
                  <c:v>65</c:v>
                </c:pt>
                <c:pt idx="10">
                  <c:v>62</c:v>
                </c:pt>
                <c:pt idx="11">
                  <c:v>60</c:v>
                </c:pt>
                <c:pt idx="12">
                  <c:v>54</c:v>
                </c:pt>
                <c:pt idx="13">
                  <c:v>52</c:v>
                </c:pt>
                <c:pt idx="14">
                  <c:v>52</c:v>
                </c:pt>
                <c:pt idx="15">
                  <c:v>49</c:v>
                </c:pt>
                <c:pt idx="16">
                  <c:v>52</c:v>
                </c:pt>
                <c:pt idx="17">
                  <c:v>52</c:v>
                </c:pt>
                <c:pt idx="18">
                  <c:v>60</c:v>
                </c:pt>
                <c:pt idx="19">
                  <c:v>75</c:v>
                </c:pt>
                <c:pt idx="20">
                  <c:v>72</c:v>
                </c:pt>
                <c:pt idx="21">
                  <c:v>74</c:v>
                </c:pt>
                <c:pt idx="22">
                  <c:v>79</c:v>
                </c:pt>
                <c:pt idx="23">
                  <c:v>85</c:v>
                </c:pt>
                <c:pt idx="24">
                  <c:v>82</c:v>
                </c:pt>
                <c:pt idx="25">
                  <c:v>91</c:v>
                </c:pt>
                <c:pt idx="26">
                  <c:v>85</c:v>
                </c:pt>
                <c:pt idx="27">
                  <c:v>85</c:v>
                </c:pt>
                <c:pt idx="28">
                  <c:v>88</c:v>
                </c:pt>
                <c:pt idx="29">
                  <c:v>91</c:v>
                </c:pt>
                <c:pt idx="30">
                  <c:v>82</c:v>
                </c:pt>
                <c:pt idx="31">
                  <c:v>77</c:v>
                </c:pt>
                <c:pt idx="32">
                  <c:v>70</c:v>
                </c:pt>
                <c:pt idx="33">
                  <c:v>68</c:v>
                </c:pt>
                <c:pt idx="34">
                  <c:v>60</c:v>
                </c:pt>
                <c:pt idx="35">
                  <c:v>56</c:v>
                </c:pt>
                <c:pt idx="36">
                  <c:v>54</c:v>
                </c:pt>
                <c:pt idx="37">
                  <c:v>53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54</c:v>
                </c:pt>
                <c:pt idx="42">
                  <c:v>60</c:v>
                </c:pt>
                <c:pt idx="43">
                  <c:v>75</c:v>
                </c:pt>
                <c:pt idx="44">
                  <c:v>82</c:v>
                </c:pt>
                <c:pt idx="45">
                  <c:v>77</c:v>
                </c:pt>
                <c:pt idx="46">
                  <c:v>82</c:v>
                </c:pt>
                <c:pt idx="47">
                  <c:v>85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88</c:v>
                </c:pt>
                <c:pt idx="52">
                  <c:v>88</c:v>
                </c:pt>
                <c:pt idx="53">
                  <c:v>88</c:v>
                </c:pt>
                <c:pt idx="54">
                  <c:v>85</c:v>
                </c:pt>
                <c:pt idx="55">
                  <c:v>70</c:v>
                </c:pt>
                <c:pt idx="56">
                  <c:v>65</c:v>
                </c:pt>
                <c:pt idx="57">
                  <c:v>62</c:v>
                </c:pt>
                <c:pt idx="58">
                  <c:v>56</c:v>
                </c:pt>
                <c:pt idx="59">
                  <c:v>53</c:v>
                </c:pt>
                <c:pt idx="60">
                  <c:v>49</c:v>
                </c:pt>
                <c:pt idx="61">
                  <c:v>49</c:v>
                </c:pt>
                <c:pt idx="62">
                  <c:v>49</c:v>
                </c:pt>
                <c:pt idx="63">
                  <c:v>74</c:v>
                </c:pt>
                <c:pt idx="64">
                  <c:v>88</c:v>
                </c:pt>
                <c:pt idx="65">
                  <c:v>88</c:v>
                </c:pt>
                <c:pt idx="66">
                  <c:v>85</c:v>
                </c:pt>
                <c:pt idx="67">
                  <c:v>91</c:v>
                </c:pt>
                <c:pt idx="68">
                  <c:v>88</c:v>
                </c:pt>
                <c:pt idx="69">
                  <c:v>88</c:v>
                </c:pt>
                <c:pt idx="70">
                  <c:v>91</c:v>
                </c:pt>
                <c:pt idx="71">
                  <c:v>94</c:v>
                </c:pt>
                <c:pt idx="72">
                  <c:v>94</c:v>
                </c:pt>
                <c:pt idx="73">
                  <c:v>87</c:v>
                </c:pt>
                <c:pt idx="74">
                  <c:v>87</c:v>
                </c:pt>
                <c:pt idx="75">
                  <c:v>90</c:v>
                </c:pt>
                <c:pt idx="76">
                  <c:v>94</c:v>
                </c:pt>
                <c:pt idx="77">
                  <c:v>94</c:v>
                </c:pt>
                <c:pt idx="78">
                  <c:v>91</c:v>
                </c:pt>
                <c:pt idx="79">
                  <c:v>79</c:v>
                </c:pt>
                <c:pt idx="80">
                  <c:v>79</c:v>
                </c:pt>
                <c:pt idx="81">
                  <c:v>79</c:v>
                </c:pt>
                <c:pt idx="82">
                  <c:v>80</c:v>
                </c:pt>
                <c:pt idx="83">
                  <c:v>70</c:v>
                </c:pt>
                <c:pt idx="84">
                  <c:v>68</c:v>
                </c:pt>
                <c:pt idx="85">
                  <c:v>62</c:v>
                </c:pt>
                <c:pt idx="86">
                  <c:v>56</c:v>
                </c:pt>
                <c:pt idx="87">
                  <c:v>54</c:v>
                </c:pt>
                <c:pt idx="88">
                  <c:v>58</c:v>
                </c:pt>
                <c:pt idx="89">
                  <c:v>59</c:v>
                </c:pt>
                <c:pt idx="90">
                  <c:v>70</c:v>
                </c:pt>
                <c:pt idx="91">
                  <c:v>77</c:v>
                </c:pt>
                <c:pt idx="92">
                  <c:v>77</c:v>
                </c:pt>
                <c:pt idx="93">
                  <c:v>82</c:v>
                </c:pt>
                <c:pt idx="94">
                  <c:v>88</c:v>
                </c:pt>
                <c:pt idx="95">
                  <c:v>88</c:v>
                </c:pt>
                <c:pt idx="96">
                  <c:v>88</c:v>
                </c:pt>
                <c:pt idx="97">
                  <c:v>94</c:v>
                </c:pt>
                <c:pt idx="98">
                  <c:v>97</c:v>
                </c:pt>
                <c:pt idx="99">
                  <c:v>97</c:v>
                </c:pt>
                <c:pt idx="100">
                  <c:v>94</c:v>
                </c:pt>
                <c:pt idx="101">
                  <c:v>94</c:v>
                </c:pt>
                <c:pt idx="102">
                  <c:v>91</c:v>
                </c:pt>
                <c:pt idx="103">
                  <c:v>82</c:v>
                </c:pt>
                <c:pt idx="104">
                  <c:v>72</c:v>
                </c:pt>
                <c:pt idx="105">
                  <c:v>66</c:v>
                </c:pt>
                <c:pt idx="106">
                  <c:v>60</c:v>
                </c:pt>
                <c:pt idx="107">
                  <c:v>58</c:v>
                </c:pt>
                <c:pt idx="108">
                  <c:v>58</c:v>
                </c:pt>
                <c:pt idx="109">
                  <c:v>51</c:v>
                </c:pt>
                <c:pt idx="110">
                  <c:v>49</c:v>
                </c:pt>
                <c:pt idx="111">
                  <c:v>48</c:v>
                </c:pt>
                <c:pt idx="112">
                  <c:v>47</c:v>
                </c:pt>
                <c:pt idx="113">
                  <c:v>49</c:v>
                </c:pt>
                <c:pt idx="114">
                  <c:v>59</c:v>
                </c:pt>
                <c:pt idx="115">
                  <c:v>72</c:v>
                </c:pt>
                <c:pt idx="116">
                  <c:v>72</c:v>
                </c:pt>
                <c:pt idx="117">
                  <c:v>79</c:v>
                </c:pt>
                <c:pt idx="118">
                  <c:v>79</c:v>
                </c:pt>
                <c:pt idx="119">
                  <c:v>85</c:v>
                </c:pt>
                <c:pt idx="120">
                  <c:v>88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94</c:v>
                </c:pt>
                <c:pt idx="125">
                  <c:v>94</c:v>
                </c:pt>
                <c:pt idx="126">
                  <c:v>91</c:v>
                </c:pt>
                <c:pt idx="127">
                  <c:v>80</c:v>
                </c:pt>
                <c:pt idx="128">
                  <c:v>72</c:v>
                </c:pt>
                <c:pt idx="129">
                  <c:v>66</c:v>
                </c:pt>
                <c:pt idx="130">
                  <c:v>62</c:v>
                </c:pt>
                <c:pt idx="131">
                  <c:v>60</c:v>
                </c:pt>
                <c:pt idx="132">
                  <c:v>56</c:v>
                </c:pt>
                <c:pt idx="133">
                  <c:v>53</c:v>
                </c:pt>
                <c:pt idx="134">
                  <c:v>51</c:v>
                </c:pt>
                <c:pt idx="135">
                  <c:v>49</c:v>
                </c:pt>
                <c:pt idx="136">
                  <c:v>51</c:v>
                </c:pt>
                <c:pt idx="137">
                  <c:v>56</c:v>
                </c:pt>
                <c:pt idx="138">
                  <c:v>64</c:v>
                </c:pt>
                <c:pt idx="139">
                  <c:v>70</c:v>
                </c:pt>
                <c:pt idx="140">
                  <c:v>72</c:v>
                </c:pt>
                <c:pt idx="141">
                  <c:v>75</c:v>
                </c:pt>
                <c:pt idx="142">
                  <c:v>80</c:v>
                </c:pt>
                <c:pt idx="143">
                  <c:v>88</c:v>
                </c:pt>
                <c:pt idx="144">
                  <c:v>85</c:v>
                </c:pt>
                <c:pt idx="145">
                  <c:v>85</c:v>
                </c:pt>
                <c:pt idx="146">
                  <c:v>85</c:v>
                </c:pt>
                <c:pt idx="147">
                  <c:v>91</c:v>
                </c:pt>
                <c:pt idx="148">
                  <c:v>94</c:v>
                </c:pt>
                <c:pt idx="149">
                  <c:v>94</c:v>
                </c:pt>
                <c:pt idx="150">
                  <c:v>85</c:v>
                </c:pt>
                <c:pt idx="151">
                  <c:v>75</c:v>
                </c:pt>
                <c:pt idx="152">
                  <c:v>62</c:v>
                </c:pt>
                <c:pt idx="153">
                  <c:v>60</c:v>
                </c:pt>
                <c:pt idx="154">
                  <c:v>54</c:v>
                </c:pt>
                <c:pt idx="155">
                  <c:v>54</c:v>
                </c:pt>
                <c:pt idx="156">
                  <c:v>49</c:v>
                </c:pt>
                <c:pt idx="157">
                  <c:v>48</c:v>
                </c:pt>
                <c:pt idx="158">
                  <c:v>45</c:v>
                </c:pt>
                <c:pt idx="159">
                  <c:v>48</c:v>
                </c:pt>
                <c:pt idx="160">
                  <c:v>51</c:v>
                </c:pt>
                <c:pt idx="161">
                  <c:v>58</c:v>
                </c:pt>
                <c:pt idx="162">
                  <c:v>70</c:v>
                </c:pt>
                <c:pt idx="163">
                  <c:v>70</c:v>
                </c:pt>
                <c:pt idx="164">
                  <c:v>72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85</c:v>
                </c:pt>
                <c:pt idx="169">
                  <c:v>88</c:v>
                </c:pt>
                <c:pt idx="170">
                  <c:v>85</c:v>
                </c:pt>
                <c:pt idx="171">
                  <c:v>91</c:v>
                </c:pt>
                <c:pt idx="172">
                  <c:v>94</c:v>
                </c:pt>
                <c:pt idx="173">
                  <c:v>85</c:v>
                </c:pt>
                <c:pt idx="174">
                  <c:v>77</c:v>
                </c:pt>
                <c:pt idx="175">
                  <c:v>68</c:v>
                </c:pt>
                <c:pt idx="176">
                  <c:v>60</c:v>
                </c:pt>
                <c:pt idx="177">
                  <c:v>54</c:v>
                </c:pt>
                <c:pt idx="178">
                  <c:v>49</c:v>
                </c:pt>
                <c:pt idx="179">
                  <c:v>51</c:v>
                </c:pt>
                <c:pt idx="180">
                  <c:v>42</c:v>
                </c:pt>
                <c:pt idx="181">
                  <c:v>42</c:v>
                </c:pt>
                <c:pt idx="182">
                  <c:v>43</c:v>
                </c:pt>
                <c:pt idx="183">
                  <c:v>46</c:v>
                </c:pt>
                <c:pt idx="184">
                  <c:v>49</c:v>
                </c:pt>
                <c:pt idx="185">
                  <c:v>56</c:v>
                </c:pt>
                <c:pt idx="186">
                  <c:v>68</c:v>
                </c:pt>
                <c:pt idx="187">
                  <c:v>65</c:v>
                </c:pt>
                <c:pt idx="188">
                  <c:v>70</c:v>
                </c:pt>
                <c:pt idx="189">
                  <c:v>72</c:v>
                </c:pt>
                <c:pt idx="190">
                  <c:v>77</c:v>
                </c:pt>
                <c:pt idx="191">
                  <c:v>74</c:v>
                </c:pt>
                <c:pt idx="192">
                  <c:v>79</c:v>
                </c:pt>
                <c:pt idx="193">
                  <c:v>88</c:v>
                </c:pt>
                <c:pt idx="194">
                  <c:v>85</c:v>
                </c:pt>
                <c:pt idx="195">
                  <c:v>82</c:v>
                </c:pt>
                <c:pt idx="196">
                  <c:v>90</c:v>
                </c:pt>
                <c:pt idx="197">
                  <c:v>82</c:v>
                </c:pt>
                <c:pt idx="198">
                  <c:v>77</c:v>
                </c:pt>
                <c:pt idx="199">
                  <c:v>63</c:v>
                </c:pt>
                <c:pt idx="200">
                  <c:v>60</c:v>
                </c:pt>
                <c:pt idx="201">
                  <c:v>54</c:v>
                </c:pt>
                <c:pt idx="202">
                  <c:v>51</c:v>
                </c:pt>
                <c:pt idx="203">
                  <c:v>47</c:v>
                </c:pt>
                <c:pt idx="204">
                  <c:v>48</c:v>
                </c:pt>
                <c:pt idx="205">
                  <c:v>46</c:v>
                </c:pt>
                <c:pt idx="206">
                  <c:v>43</c:v>
                </c:pt>
                <c:pt idx="207">
                  <c:v>46</c:v>
                </c:pt>
                <c:pt idx="208">
                  <c:v>60</c:v>
                </c:pt>
                <c:pt idx="209">
                  <c:v>70</c:v>
                </c:pt>
                <c:pt idx="210">
                  <c:v>74</c:v>
                </c:pt>
                <c:pt idx="211">
                  <c:v>77</c:v>
                </c:pt>
                <c:pt idx="212">
                  <c:v>82</c:v>
                </c:pt>
                <c:pt idx="213">
                  <c:v>85</c:v>
                </c:pt>
                <c:pt idx="214">
                  <c:v>85</c:v>
                </c:pt>
                <c:pt idx="215">
                  <c:v>88</c:v>
                </c:pt>
                <c:pt idx="216">
                  <c:v>85</c:v>
                </c:pt>
                <c:pt idx="217">
                  <c:v>91</c:v>
                </c:pt>
                <c:pt idx="218">
                  <c:v>94</c:v>
                </c:pt>
                <c:pt idx="219">
                  <c:v>90</c:v>
                </c:pt>
                <c:pt idx="220">
                  <c:v>88</c:v>
                </c:pt>
                <c:pt idx="221">
                  <c:v>85</c:v>
                </c:pt>
                <c:pt idx="222">
                  <c:v>82</c:v>
                </c:pt>
                <c:pt idx="223">
                  <c:v>82</c:v>
                </c:pt>
                <c:pt idx="224">
                  <c:v>82</c:v>
                </c:pt>
                <c:pt idx="225">
                  <c:v>77</c:v>
                </c:pt>
                <c:pt idx="226">
                  <c:v>74</c:v>
                </c:pt>
                <c:pt idx="227">
                  <c:v>72</c:v>
                </c:pt>
                <c:pt idx="228">
                  <c:v>91</c:v>
                </c:pt>
                <c:pt idx="229">
                  <c:v>82</c:v>
                </c:pt>
                <c:pt idx="230">
                  <c:v>70</c:v>
                </c:pt>
                <c:pt idx="231">
                  <c:v>70</c:v>
                </c:pt>
                <c:pt idx="232">
                  <c:v>70</c:v>
                </c:pt>
                <c:pt idx="233">
                  <c:v>72</c:v>
                </c:pt>
                <c:pt idx="234">
                  <c:v>79</c:v>
                </c:pt>
                <c:pt idx="235">
                  <c:v>74</c:v>
                </c:pt>
                <c:pt idx="236">
                  <c:v>77</c:v>
                </c:pt>
                <c:pt idx="237">
                  <c:v>77</c:v>
                </c:pt>
                <c:pt idx="238">
                  <c:v>77</c:v>
                </c:pt>
                <c:pt idx="239">
                  <c:v>77</c:v>
                </c:pt>
                <c:pt idx="240">
                  <c:v>74</c:v>
                </c:pt>
                <c:pt idx="241">
                  <c:v>77</c:v>
                </c:pt>
                <c:pt idx="242">
                  <c:v>79</c:v>
                </c:pt>
                <c:pt idx="243">
                  <c:v>79</c:v>
                </c:pt>
                <c:pt idx="244">
                  <c:v>82</c:v>
                </c:pt>
                <c:pt idx="245">
                  <c:v>79</c:v>
                </c:pt>
                <c:pt idx="246">
                  <c:v>76</c:v>
                </c:pt>
                <c:pt idx="247">
                  <c:v>72</c:v>
                </c:pt>
                <c:pt idx="248">
                  <c:v>70</c:v>
                </c:pt>
                <c:pt idx="249">
                  <c:v>65</c:v>
                </c:pt>
                <c:pt idx="250">
                  <c:v>59</c:v>
                </c:pt>
                <c:pt idx="251">
                  <c:v>54</c:v>
                </c:pt>
                <c:pt idx="252">
                  <c:v>49</c:v>
                </c:pt>
                <c:pt idx="253">
                  <c:v>49</c:v>
                </c:pt>
                <c:pt idx="254">
                  <c:v>45</c:v>
                </c:pt>
                <c:pt idx="255">
                  <c:v>45</c:v>
                </c:pt>
                <c:pt idx="256">
                  <c:v>47</c:v>
                </c:pt>
                <c:pt idx="257">
                  <c:v>51</c:v>
                </c:pt>
                <c:pt idx="258">
                  <c:v>59</c:v>
                </c:pt>
                <c:pt idx="259">
                  <c:v>61</c:v>
                </c:pt>
                <c:pt idx="260">
                  <c:v>65</c:v>
                </c:pt>
                <c:pt idx="261">
                  <c:v>71</c:v>
                </c:pt>
                <c:pt idx="262">
                  <c:v>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0BF-45BB-B59F-86C7BD8C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71136"/>
        <c:axId val="287971696"/>
      </c:scatterChart>
      <c:valAx>
        <c:axId val="287971136"/>
        <c:scaling>
          <c:orientation val="minMax"/>
          <c:max val="35637"/>
          <c:min val="35632"/>
        </c:scaling>
        <c:delete val="0"/>
        <c:axPos val="b"/>
        <c:majorGridlines/>
        <c:numFmt formatCode="[$-409]h:mm\ AM/P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87971696"/>
        <c:crosses val="autoZero"/>
        <c:crossBetween val="midCat"/>
        <c:majorUnit val="0.25"/>
      </c:valAx>
      <c:valAx>
        <c:axId val="287971696"/>
        <c:scaling>
          <c:orientation val="minMax"/>
          <c:max val="10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/ Rh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87971136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503337653678129"/>
          <c:y val="0.90763220862452465"/>
          <c:w val="0.48045760692853534"/>
          <c:h val="5.62251104154143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Sheet2!$A$1:$A$6</c:f>
              <c:numCache>
                <c:formatCode>General</c:formatCode>
                <c:ptCount val="6"/>
                <c:pt idx="0">
                  <c:v>1000</c:v>
                </c:pt>
                <c:pt idx="1">
                  <c:v>1000</c:v>
                </c:pt>
                <c:pt idx="2">
                  <c:v>1200</c:v>
                </c:pt>
                <c:pt idx="3">
                  <c:v>1500</c:v>
                </c:pt>
                <c:pt idx="4">
                  <c:v>1905</c:v>
                </c:pt>
                <c:pt idx="5">
                  <c:v>2521</c:v>
                </c:pt>
              </c:numCache>
            </c:numRef>
          </c:xVal>
          <c:yVal>
            <c:numRef>
              <c:f>Sheet2!$B$1:$B$6</c:f>
              <c:numCache>
                <c:formatCode>General</c:formatCode>
                <c:ptCount val="6"/>
                <c:pt idx="0">
                  <c:v>20652</c:v>
                </c:pt>
                <c:pt idx="1">
                  <c:v>20576</c:v>
                </c:pt>
                <c:pt idx="2">
                  <c:v>21152</c:v>
                </c:pt>
                <c:pt idx="3">
                  <c:v>22030</c:v>
                </c:pt>
                <c:pt idx="4">
                  <c:v>22325</c:v>
                </c:pt>
                <c:pt idx="5">
                  <c:v>23014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F0-4D46-995A-66B24CBF2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974496"/>
        <c:axId val="287975056"/>
      </c:scatterChart>
      <c:valAx>
        <c:axId val="2879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7975056"/>
        <c:crosses val="autoZero"/>
        <c:crossBetween val="midCat"/>
      </c:valAx>
      <c:valAx>
        <c:axId val="28797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7974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2695284</xdr:colOff>
      <xdr:row>54</xdr:row>
      <xdr:rowOff>-1</xdr:rowOff>
    </xdr:from>
    <xdr:to>
      <xdr:col>2</xdr:col>
      <xdr:colOff>6785730</xdr:colOff>
      <xdr:row>66</xdr:row>
      <xdr:rowOff>136434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185059-97A1-47B0-93AC-1C1C7040E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4104" y="14032229"/>
          <a:ext cx="4097401" cy="315395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136973</xdr:colOff>
      <xdr:row>21</xdr:row>
      <xdr:rowOff>14896</xdr:rowOff>
    </xdr:from>
    <xdr:to>
      <xdr:col>2</xdr:col>
      <xdr:colOff>4082143</xdr:colOff>
      <xdr:row>31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036D65-261C-488E-BE40-A75FE1601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3616" y="6366710"/>
          <a:ext cx="3945170" cy="248882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4133850</xdr:colOff>
      <xdr:row>21</xdr:row>
      <xdr:rowOff>11745</xdr:rowOff>
    </xdr:from>
    <xdr:to>
      <xdr:col>3</xdr:col>
      <xdr:colOff>1009480</xdr:colOff>
      <xdr:row>31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37CB38-3321-4D44-A47A-E1569A2EEA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2670" y="6168705"/>
          <a:ext cx="3677024" cy="250285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74237</xdr:colOff>
      <xdr:row>53</xdr:row>
      <xdr:rowOff>233859</xdr:rowOff>
    </xdr:from>
    <xdr:to>
      <xdr:col>4</xdr:col>
      <xdr:colOff>1670834</xdr:colOff>
      <xdr:row>66</xdr:row>
      <xdr:rowOff>122462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252511-DC9E-4B66-8F22-B5A764107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9008" y="15386773"/>
          <a:ext cx="4383340" cy="314343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3</xdr:col>
      <xdr:colOff>625356</xdr:colOff>
      <xdr:row>64</xdr:row>
      <xdr:rowOff>78768</xdr:rowOff>
    </xdr:from>
    <xdr:ext cx="2505751" cy="35779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6B1DC19-BD77-430D-881F-1CB09B4A5730}"/>
            </a:ext>
          </a:extLst>
        </xdr:cNvPr>
        <xdr:cNvSpPr txBox="1"/>
      </xdr:nvSpPr>
      <xdr:spPr>
        <a:xfrm>
          <a:off x="9410127" y="17985768"/>
          <a:ext cx="250575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Stem</a:t>
          </a:r>
          <a:r>
            <a:rPr lang="en-US" sz="18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wall/foundation</a:t>
          </a:r>
          <a:endParaRPr lang="en-US" sz="1800" b="1">
            <a:solidFill>
              <a:srgbClr val="FFFF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3251446</xdr:colOff>
      <xdr:row>58</xdr:row>
      <xdr:rowOff>225935</xdr:rowOff>
    </xdr:from>
    <xdr:ext cx="1172372" cy="35779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3CB6ADD-9E81-4E4F-A8E0-A8B9625D0BE5}"/>
            </a:ext>
          </a:extLst>
        </xdr:cNvPr>
        <xdr:cNvSpPr txBox="1"/>
      </xdr:nvSpPr>
      <xdr:spPr>
        <a:xfrm>
          <a:off x="11633446" y="16677515"/>
          <a:ext cx="1172372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Sid</a:t>
          </a:r>
          <a:r>
            <a:rPr lang="en-US" sz="18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e wall</a:t>
          </a:r>
          <a:endParaRPr lang="en-US" sz="1800" b="1">
            <a:solidFill>
              <a:srgbClr val="FFFF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2969263</xdr:colOff>
      <xdr:row>56</xdr:row>
      <xdr:rowOff>15817</xdr:rowOff>
    </xdr:from>
    <xdr:ext cx="1877822" cy="35779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53D2850-EEF1-44EB-B1A0-22819C93D648}"/>
            </a:ext>
          </a:extLst>
        </xdr:cNvPr>
        <xdr:cNvSpPr txBox="1"/>
      </xdr:nvSpPr>
      <xdr:spPr>
        <a:xfrm>
          <a:off x="4958083" y="15964477"/>
          <a:ext cx="1877822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8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side wall</a:t>
          </a:r>
          <a:endParaRPr lang="en-US" sz="1800" b="1">
            <a:solidFill>
              <a:srgbClr val="FFFF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4651046</xdr:colOff>
      <xdr:row>63</xdr:row>
      <xdr:rowOff>59005</xdr:rowOff>
    </xdr:from>
    <xdr:ext cx="1890646" cy="35779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0F2961E-4DC0-4B40-AE3C-3768644F3059}"/>
            </a:ext>
          </a:extLst>
        </xdr:cNvPr>
        <xdr:cNvSpPr txBox="1"/>
      </xdr:nvSpPr>
      <xdr:spPr>
        <a:xfrm>
          <a:off x="6639866" y="17767885"/>
          <a:ext cx="1890646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8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side wall</a:t>
          </a:r>
          <a:endParaRPr lang="en-US" sz="1800" b="1">
            <a:solidFill>
              <a:srgbClr val="FFFF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4643493</xdr:colOff>
      <xdr:row>59</xdr:row>
      <xdr:rowOff>164784</xdr:rowOff>
    </xdr:from>
    <xdr:ext cx="1954189" cy="35779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9A1B2A2-B10D-468F-A918-303FFC2BC932}"/>
            </a:ext>
          </a:extLst>
        </xdr:cNvPr>
        <xdr:cNvSpPr txBox="1"/>
      </xdr:nvSpPr>
      <xdr:spPr>
        <a:xfrm>
          <a:off x="6632313" y="16867824"/>
          <a:ext cx="1954189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Curtain opening</a:t>
          </a:r>
        </a:p>
      </xdr:txBody>
    </xdr:sp>
    <xdr:clientData/>
  </xdr:oneCellAnchor>
  <xdr:oneCellAnchor>
    <xdr:from>
      <xdr:col>2</xdr:col>
      <xdr:colOff>5048791</xdr:colOff>
      <xdr:row>21</xdr:row>
      <xdr:rowOff>193852</xdr:rowOff>
    </xdr:from>
    <xdr:ext cx="1928798" cy="35779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A670CBD-5DCC-40BB-AF7F-DCD7B4A559B7}"/>
            </a:ext>
          </a:extLst>
        </xdr:cNvPr>
        <xdr:cNvSpPr txBox="1"/>
      </xdr:nvSpPr>
      <xdr:spPr>
        <a:xfrm>
          <a:off x="7037611" y="6350812"/>
          <a:ext cx="1928798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Dropped</a:t>
          </a:r>
          <a:r>
            <a:rPr lang="en-US" sz="1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ceiling</a:t>
          </a:r>
          <a:endParaRPr lang="en-US" sz="1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1342631</xdr:colOff>
      <xdr:row>23</xdr:row>
      <xdr:rowOff>237908</xdr:rowOff>
    </xdr:from>
    <xdr:ext cx="1569789" cy="35779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44F0C9A-4C32-460A-B9FF-0F1E1D2FEF81}"/>
            </a:ext>
          </a:extLst>
        </xdr:cNvPr>
        <xdr:cNvSpPr txBox="1"/>
      </xdr:nvSpPr>
      <xdr:spPr>
        <a:xfrm>
          <a:off x="3331451" y="6897788"/>
          <a:ext cx="1569789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Open</a:t>
          </a:r>
          <a:r>
            <a:rPr lang="en-US" sz="1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ceiling</a:t>
          </a:r>
          <a:endParaRPr lang="en-US" sz="1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1212615</xdr:colOff>
      <xdr:row>52</xdr:row>
      <xdr:rowOff>67888</xdr:rowOff>
    </xdr:from>
    <xdr:ext cx="2018822" cy="35779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5F56A04-A9C8-408B-812D-ED46D9D9A9B5}"/>
            </a:ext>
          </a:extLst>
        </xdr:cNvPr>
        <xdr:cNvSpPr txBox="1"/>
      </xdr:nvSpPr>
      <xdr:spPr>
        <a:xfrm>
          <a:off x="1441215" y="15010708"/>
          <a:ext cx="2018822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Curtain</a:t>
          </a:r>
          <a:r>
            <a:rPr lang="en-US" sz="1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side wall</a:t>
          </a:r>
          <a:endParaRPr lang="en-US" sz="1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1706879</xdr:colOff>
      <xdr:row>38</xdr:row>
      <xdr:rowOff>1360</xdr:rowOff>
    </xdr:from>
    <xdr:ext cx="4564381" cy="1755474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6528403-3365-4BB6-BE48-267C168E94FD}"/>
            </a:ext>
          </a:extLst>
        </xdr:cNvPr>
        <xdr:cNvSpPr txBox="1"/>
      </xdr:nvSpPr>
      <xdr:spPr>
        <a:xfrm>
          <a:off x="1935479" y="10783660"/>
          <a:ext cx="4564381" cy="17554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Broiler heat production (Btu's/hr per lb.):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4 lb. = 6.6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5 lb. = 6.2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6 lb. = 5.9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8 lb.+ = 5.4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4607377</xdr:colOff>
      <xdr:row>38</xdr:row>
      <xdr:rowOff>6801</xdr:rowOff>
    </xdr:from>
    <xdr:ext cx="4695554" cy="174471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AAE2D14-B737-4E30-8635-7496F0A93E12}"/>
            </a:ext>
          </a:extLst>
        </xdr:cNvPr>
        <xdr:cNvSpPr txBox="1"/>
      </xdr:nvSpPr>
      <xdr:spPr>
        <a:xfrm>
          <a:off x="6594020" y="10985044"/>
          <a:ext cx="4695554" cy="174471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Other types of poultry (Btu's/hr per lb.):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Broiler pullets = 3.5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Broiler breeders = 4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Turkeys (heavy toms) = 4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Turkey poults (brooder barn) = 7</a:t>
          </a:r>
        </a:p>
        <a:p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Commerical layers = 3.5</a:t>
          </a:r>
        </a:p>
      </xdr:txBody>
    </xdr:sp>
    <xdr:clientData/>
  </xdr:oneCellAnchor>
  <xdr:twoCellAnchor>
    <xdr:from>
      <xdr:col>5</xdr:col>
      <xdr:colOff>0</xdr:colOff>
      <xdr:row>72</xdr:row>
      <xdr:rowOff>93662</xdr:rowOff>
    </xdr:from>
    <xdr:to>
      <xdr:col>15</xdr:col>
      <xdr:colOff>279763</xdr:colOff>
      <xdr:row>92</xdr:row>
      <xdr:rowOff>28303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F3200E9C-F2A8-4F85-B72C-CC4AAFDD37BB}"/>
            </a:ext>
          </a:extLst>
        </xdr:cNvPr>
        <xdr:cNvGrpSpPr/>
      </xdr:nvGrpSpPr>
      <xdr:grpSpPr>
        <a:xfrm>
          <a:off x="14358257" y="20417291"/>
          <a:ext cx="12901749" cy="6406198"/>
          <a:chOff x="0" y="2511425"/>
          <a:chExt cx="9144000" cy="3132773"/>
        </a:xfrm>
      </xdr:grpSpPr>
      <xdr:sp macro="" textlink="">
        <xdr:nvSpPr>
          <xdr:cNvPr id="18" name="Line 2">
            <a:extLst>
              <a:ext uri="{FF2B5EF4-FFF2-40B4-BE49-F238E27FC236}">
                <a16:creationId xmlns:a16="http://schemas.microsoft.com/office/drawing/2014/main" id="{39F2172B-D0A7-4970-8416-E0EB27CDBAE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5900" y="2514600"/>
            <a:ext cx="4356100" cy="128905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" name="Rectangle 18" descr="Granite">
            <a:extLst>
              <a:ext uri="{FF2B5EF4-FFF2-40B4-BE49-F238E27FC236}">
                <a16:creationId xmlns:a16="http://schemas.microsoft.com/office/drawing/2014/main" id="{CD5C6723-4C59-490A-9503-0607FD55161B}"/>
              </a:ext>
            </a:extLst>
          </xdr:cNvPr>
          <xdr:cNvSpPr>
            <a:spLocks noChangeArrowheads="1"/>
          </xdr:cNvSpPr>
        </xdr:nvSpPr>
        <xdr:spPr bwMode="auto">
          <a:xfrm rot="21060092">
            <a:off x="327025" y="3546928"/>
            <a:ext cx="4270375" cy="42863"/>
          </a:xfrm>
          <a:prstGeom prst="rect">
            <a:avLst/>
          </a:prstGeom>
          <a:blipFill dpi="0" rotWithShape="0">
            <a:blip xmlns:r="http://schemas.openxmlformats.org/officeDocument/2006/relationships" r:embed="rId5" cstate="print"/>
            <a:srcRect/>
            <a:tile tx="0" ty="0" sx="100000" sy="100000" flip="none" algn="tl"/>
          </a:blipFill>
          <a:ln w="3175">
            <a:solidFill>
              <a:schemeClr val="tx1"/>
            </a:solidFill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2000"/>
          </a:p>
        </xdr:txBody>
      </xdr:sp>
      <xdr:sp macro="" textlink="">
        <xdr:nvSpPr>
          <xdr:cNvPr id="20" name="Rectangle 19" descr="Medium wood">
            <a:extLst>
              <a:ext uri="{FF2B5EF4-FFF2-40B4-BE49-F238E27FC236}">
                <a16:creationId xmlns:a16="http://schemas.microsoft.com/office/drawing/2014/main" id="{37F8BC24-255E-4335-9158-22D53E6FCAD4}"/>
              </a:ext>
            </a:extLst>
          </xdr:cNvPr>
          <xdr:cNvSpPr>
            <a:spLocks noChangeArrowheads="1"/>
          </xdr:cNvSpPr>
        </xdr:nvSpPr>
        <xdr:spPr bwMode="auto">
          <a:xfrm>
            <a:off x="355600" y="3864408"/>
            <a:ext cx="55880" cy="1583414"/>
          </a:xfrm>
          <a:prstGeom prst="rect">
            <a:avLst/>
          </a:prstGeom>
          <a:blipFill dpi="0" rotWithShape="0">
            <a:blip xmlns:r="http://schemas.openxmlformats.org/officeDocument/2006/relationships" r:embed="rId6" cstate="print"/>
            <a:srcRect/>
            <a:tile tx="0" ty="0" sx="100000" sy="100000" flip="none" algn="tl"/>
          </a:blipFill>
          <a:ln w="9525">
            <a:noFill/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2000"/>
          </a:p>
        </xdr:txBody>
      </xdr:sp>
      <xdr:grpSp>
        <xdr:nvGrpSpPr>
          <xdr:cNvPr id="21" name="Group 20">
            <a:extLst>
              <a:ext uri="{FF2B5EF4-FFF2-40B4-BE49-F238E27FC236}">
                <a16:creationId xmlns:a16="http://schemas.microsoft.com/office/drawing/2014/main" id="{3BD3C8BE-928A-4FBC-A1EA-98954F9B055A}"/>
              </a:ext>
            </a:extLst>
          </xdr:cNvPr>
          <xdr:cNvGrpSpPr>
            <a:grpSpLocks/>
          </xdr:cNvGrpSpPr>
        </xdr:nvGrpSpPr>
        <xdr:grpSpPr bwMode="auto">
          <a:xfrm flipH="1">
            <a:off x="8750149" y="3864409"/>
            <a:ext cx="57308" cy="1769630"/>
            <a:chOff x="910" y="1630"/>
            <a:chExt cx="57" cy="2594"/>
          </a:xfrm>
        </xdr:grpSpPr>
        <xdr:sp macro="" textlink="">
          <xdr:nvSpPr>
            <xdr:cNvPr id="27" name="Rectangle 26" descr="Medium wood">
              <a:extLst>
                <a:ext uri="{FF2B5EF4-FFF2-40B4-BE49-F238E27FC236}">
                  <a16:creationId xmlns:a16="http://schemas.microsoft.com/office/drawing/2014/main" id="{7B74792A-3E3D-449C-87EC-4EBF760E3A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10" y="1630"/>
              <a:ext cx="57" cy="731"/>
            </a:xfrm>
            <a:prstGeom prst="rect">
              <a:avLst/>
            </a:prstGeom>
            <a:blipFill dpi="0" rotWithShape="0">
              <a:blip xmlns:r="http://schemas.openxmlformats.org/officeDocument/2006/relationships" r:embed="rId6" cstate="print"/>
              <a:srcRect/>
              <a:tile tx="0" ty="0" sx="100000" sy="100000" flip="none" algn="tl"/>
            </a:blipFill>
            <a:ln w="9525">
              <a:noFill/>
              <a:miter lim="800000"/>
              <a:headEnd/>
              <a:tailEnd/>
            </a:ln>
            <a:effectLst/>
          </xdr:spPr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8" name="Rectangle 27" descr="Medium wood">
              <a:extLst>
                <a:ext uri="{FF2B5EF4-FFF2-40B4-BE49-F238E27FC236}">
                  <a16:creationId xmlns:a16="http://schemas.microsoft.com/office/drawing/2014/main" id="{5C00210F-2945-4A8B-B44D-6248C8A3B4B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15" y="3264"/>
              <a:ext cx="52" cy="960"/>
            </a:xfrm>
            <a:prstGeom prst="rect">
              <a:avLst/>
            </a:prstGeom>
            <a:blipFill dpi="0" rotWithShape="0">
              <a:blip xmlns:r="http://schemas.openxmlformats.org/officeDocument/2006/relationships" r:embed="rId6" cstate="print"/>
              <a:srcRect/>
              <a:tile tx="0" ty="0" sx="100000" sy="100000" flip="none" algn="tl"/>
            </a:blipFill>
            <a:ln w="9525">
              <a:noFill/>
              <a:miter lim="800000"/>
              <a:headEnd/>
              <a:tailEnd/>
            </a:ln>
            <a:effectLst/>
          </xdr:spPr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29" name="Freeform 31">
              <a:extLst>
                <a:ext uri="{FF2B5EF4-FFF2-40B4-BE49-F238E27FC236}">
                  <a16:creationId xmlns:a16="http://schemas.microsoft.com/office/drawing/2014/main" id="{579B7150-A5D8-45D0-9355-DE8FE7994B56}"/>
                </a:ext>
              </a:extLst>
            </xdr:cNvPr>
            <xdr:cNvSpPr>
              <a:spLocks/>
            </xdr:cNvSpPr>
          </xdr:nvSpPr>
          <xdr:spPr bwMode="auto">
            <a:xfrm>
              <a:off x="910" y="2339"/>
              <a:ext cx="27" cy="924"/>
            </a:xfrm>
            <a:custGeom>
              <a:avLst/>
              <a:gdLst/>
              <a:ahLst/>
              <a:cxnLst>
                <a:cxn ang="0">
                  <a:pos x="0" y="0"/>
                </a:cxn>
                <a:cxn ang="0">
                  <a:pos x="0" y="1104"/>
                </a:cxn>
              </a:cxnLst>
              <a:rect l="0" t="0" r="r" b="b"/>
              <a:pathLst>
                <a:path w="1" h="1104">
                  <a:moveTo>
                    <a:pt x="0" y="0"/>
                  </a:moveTo>
                  <a:cubicBezTo>
                    <a:pt x="0" y="0"/>
                    <a:pt x="0" y="552"/>
                    <a:pt x="0" y="1104"/>
                  </a:cubicBezTo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ffectLst/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</xdr:grpSp>
      <xdr:sp macro="" textlink="">
        <xdr:nvSpPr>
          <xdr:cNvPr id="22" name="Rectangle 21" descr="Granite">
            <a:extLst>
              <a:ext uri="{FF2B5EF4-FFF2-40B4-BE49-F238E27FC236}">
                <a16:creationId xmlns:a16="http://schemas.microsoft.com/office/drawing/2014/main" id="{A85A81A3-887F-44AD-92E6-BE71C5861826}"/>
              </a:ext>
            </a:extLst>
          </xdr:cNvPr>
          <xdr:cNvSpPr>
            <a:spLocks noChangeArrowheads="1"/>
          </xdr:cNvSpPr>
        </xdr:nvSpPr>
        <xdr:spPr bwMode="auto">
          <a:xfrm rot="539908" flipH="1">
            <a:off x="4546600" y="3545851"/>
            <a:ext cx="4270375" cy="42862"/>
          </a:xfrm>
          <a:prstGeom prst="rect">
            <a:avLst/>
          </a:prstGeom>
          <a:blipFill dpi="0" rotWithShape="0">
            <a:blip xmlns:r="http://schemas.openxmlformats.org/officeDocument/2006/relationships" r:embed="rId5" cstate="print"/>
            <a:srcRect/>
            <a:tile tx="0" ty="0" sx="100000" sy="100000" flip="none" algn="tl"/>
          </a:blipFill>
          <a:ln w="3175">
            <a:solidFill>
              <a:schemeClr val="tx1"/>
            </a:solidFill>
            <a:miter lim="800000"/>
            <a:headEnd/>
            <a:tailEnd/>
          </a:ln>
          <a:effectLst/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3" name="Line 16">
            <a:extLst>
              <a:ext uri="{FF2B5EF4-FFF2-40B4-BE49-F238E27FC236}">
                <a16:creationId xmlns:a16="http://schemas.microsoft.com/office/drawing/2014/main" id="{D338073F-7E77-4F0D-BB21-F86E1949022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573588" y="2511425"/>
            <a:ext cx="4376737" cy="1290638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4" name="Line 17">
            <a:extLst>
              <a:ext uri="{FF2B5EF4-FFF2-40B4-BE49-F238E27FC236}">
                <a16:creationId xmlns:a16="http://schemas.microsoft.com/office/drawing/2014/main" id="{ECB843AB-9AEC-4B9C-91AD-6AB25971CDE0}"/>
              </a:ext>
            </a:extLst>
          </xdr:cNvPr>
          <xdr:cNvSpPr>
            <a:spLocks noChangeShapeType="1"/>
          </xdr:cNvSpPr>
        </xdr:nvSpPr>
        <xdr:spPr bwMode="auto">
          <a:xfrm>
            <a:off x="0" y="5634673"/>
            <a:ext cx="9144000" cy="9525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ffectLst/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AD21521D-CF9D-4CC7-A977-4DFB73D78A07}"/>
              </a:ext>
            </a:extLst>
          </xdr:cNvPr>
          <xdr:cNvSpPr/>
        </xdr:nvSpPr>
        <xdr:spPr>
          <a:xfrm>
            <a:off x="342900" y="5433060"/>
            <a:ext cx="68580" cy="193993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DD5B3D5F-3C89-470A-A8E9-D27FA43FE6E1}"/>
              </a:ext>
            </a:extLst>
          </xdr:cNvPr>
          <xdr:cNvSpPr/>
        </xdr:nvSpPr>
        <xdr:spPr>
          <a:xfrm>
            <a:off x="8741642" y="5438616"/>
            <a:ext cx="68580" cy="193993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  <xdr:oneCellAnchor>
    <xdr:from>
      <xdr:col>3</xdr:col>
      <xdr:colOff>821866</xdr:colOff>
      <xdr:row>52</xdr:row>
      <xdr:rowOff>70754</xdr:rowOff>
    </xdr:from>
    <xdr:ext cx="3019481" cy="35779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5A0D5DBC-95ED-4135-B308-41BE7D930ED3}"/>
            </a:ext>
          </a:extLst>
        </xdr:cNvPr>
        <xdr:cNvSpPr txBox="1"/>
      </xdr:nvSpPr>
      <xdr:spPr>
        <a:xfrm>
          <a:off x="9606637" y="14973297"/>
          <a:ext cx="30194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Totally enclosed side wall</a:t>
          </a:r>
        </a:p>
      </xdr:txBody>
    </xdr:sp>
    <xdr:clientData/>
  </xdr:oneCellAnchor>
  <xdr:twoCellAnchor editAs="oneCell">
    <xdr:from>
      <xdr:col>1</xdr:col>
      <xdr:colOff>0</xdr:colOff>
      <xdr:row>53</xdr:row>
      <xdr:rowOff>209554</xdr:rowOff>
    </xdr:from>
    <xdr:to>
      <xdr:col>2</xdr:col>
      <xdr:colOff>2621280</xdr:colOff>
      <xdr:row>66</xdr:row>
      <xdr:rowOff>98342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459F2C4-3DA7-4028-B742-1E652106D4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5362468"/>
          <a:ext cx="4379323" cy="314361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1</xdr:col>
      <xdr:colOff>752719</xdr:colOff>
      <xdr:row>63</xdr:row>
      <xdr:rowOff>149526</xdr:rowOff>
    </xdr:from>
    <xdr:ext cx="2505751" cy="35779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3E3A4D1-5490-46F9-9235-130E114D8959}"/>
            </a:ext>
          </a:extLst>
        </xdr:cNvPr>
        <xdr:cNvSpPr txBox="1"/>
      </xdr:nvSpPr>
      <xdr:spPr>
        <a:xfrm>
          <a:off x="981319" y="17858406"/>
          <a:ext cx="250575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Stem</a:t>
          </a:r>
          <a:r>
            <a:rPr lang="en-US" sz="18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wall/foundation</a:t>
          </a:r>
          <a:endParaRPr lang="en-US" sz="1800" b="1">
            <a:solidFill>
              <a:srgbClr val="FFFF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1672046</xdr:colOff>
      <xdr:row>61</xdr:row>
      <xdr:rowOff>131718</xdr:rowOff>
    </xdr:from>
    <xdr:ext cx="1890646" cy="35779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E5FEE2FA-3F16-451D-A990-4124962CCE75}"/>
            </a:ext>
          </a:extLst>
        </xdr:cNvPr>
        <xdr:cNvSpPr txBox="1"/>
      </xdr:nvSpPr>
      <xdr:spPr>
        <a:xfrm>
          <a:off x="1900646" y="17337678"/>
          <a:ext cx="1890646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8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side wall</a:t>
          </a:r>
          <a:endParaRPr lang="en-US" sz="1800" b="1">
            <a:solidFill>
              <a:srgbClr val="FFFF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354532</xdr:colOff>
      <xdr:row>55</xdr:row>
      <xdr:rowOff>44119</xdr:rowOff>
    </xdr:from>
    <xdr:ext cx="1877822" cy="35779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973FC83-E501-4E6A-9701-D1C45364B1EB}"/>
            </a:ext>
          </a:extLst>
        </xdr:cNvPr>
        <xdr:cNvSpPr txBox="1"/>
      </xdr:nvSpPr>
      <xdr:spPr>
        <a:xfrm>
          <a:off x="2343352" y="15741319"/>
          <a:ext cx="1877822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800" b="1" baseline="0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 side wall</a:t>
          </a:r>
          <a:endParaRPr lang="en-US" sz="1800" b="1">
            <a:solidFill>
              <a:srgbClr val="FFFF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520349</xdr:colOff>
      <xdr:row>58</xdr:row>
      <xdr:rowOff>14561</xdr:rowOff>
    </xdr:from>
    <xdr:ext cx="1954189" cy="35779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ED225A-C8D5-4A4B-9871-E78D6F07B2C9}"/>
            </a:ext>
          </a:extLst>
        </xdr:cNvPr>
        <xdr:cNvSpPr txBox="1"/>
      </xdr:nvSpPr>
      <xdr:spPr>
        <a:xfrm>
          <a:off x="748949" y="16466141"/>
          <a:ext cx="1954189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rgbClr val="FFFF00"/>
              </a:solidFill>
              <a:latin typeface="Arial" panose="020B0604020202020204" pitchFamily="34" charset="0"/>
              <a:cs typeface="Arial" panose="020B0604020202020204" pitchFamily="34" charset="0"/>
            </a:rPr>
            <a:t>Curtain opening</a:t>
          </a:r>
        </a:p>
      </xdr:txBody>
    </xdr:sp>
    <xdr:clientData/>
  </xdr:oneCellAnchor>
  <xdr:oneCellAnchor>
    <xdr:from>
      <xdr:col>2</xdr:col>
      <xdr:colOff>3738100</xdr:colOff>
      <xdr:row>52</xdr:row>
      <xdr:rowOff>73332</xdr:rowOff>
    </xdr:from>
    <xdr:ext cx="2018822" cy="35779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7729FE2-41DF-4E38-973F-A608B51C9FB4}"/>
            </a:ext>
          </a:extLst>
        </xdr:cNvPr>
        <xdr:cNvSpPr txBox="1"/>
      </xdr:nvSpPr>
      <xdr:spPr>
        <a:xfrm>
          <a:off x="5726920" y="15016152"/>
          <a:ext cx="2018822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Curtain</a:t>
          </a:r>
          <a:r>
            <a:rPr lang="en-US" sz="1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side wall</a:t>
          </a:r>
          <a:endParaRPr lang="en-US" sz="1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374543</xdr:colOff>
      <xdr:row>14</xdr:row>
      <xdr:rowOff>116237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5103" y="50463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28726</xdr:colOff>
      <xdr:row>2</xdr:row>
      <xdr:rowOff>192991</xdr:rowOff>
    </xdr:from>
    <xdr:ext cx="9496274" cy="9377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125226" y="1210805"/>
          <a:ext cx="9496274" cy="93775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 baseline="0"/>
            <a:t>M</a:t>
          </a:r>
          <a:r>
            <a:rPr lang="en-US" sz="1800"/>
            <a:t>inimum</a:t>
          </a:r>
          <a:r>
            <a:rPr lang="en-US" sz="1800" baseline="0"/>
            <a:t> ventilation tunnel fan capacity to insure more than a 5 temperature rise  typically requires between 9 and 11 cfm/ft2 of floor area.  A more precise minimum tunnel fan </a:t>
          </a:r>
          <a:r>
            <a:rPr lang="en-US" sz="1800"/>
            <a:t>capacity can be determined by using the UGA Poultry House Heat Gain Spreadsheet.</a:t>
          </a:r>
        </a:p>
      </xdr:txBody>
    </xdr:sp>
    <xdr:clientData/>
  </xdr:oneCellAnchor>
  <xdr:oneCellAnchor>
    <xdr:from>
      <xdr:col>5</xdr:col>
      <xdr:colOff>10884</xdr:colOff>
      <xdr:row>11</xdr:row>
      <xdr:rowOff>315158</xdr:rowOff>
    </xdr:from>
    <xdr:ext cx="9565703" cy="120884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107384" y="4331987"/>
          <a:ext cx="9565703" cy="120884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800"/>
            <a:t>Estimated yearly operating hours can be very difficult to estimate.  On average for a producer </a:t>
          </a:r>
        </a:p>
        <a:p>
          <a:r>
            <a:rPr lang="en-US" sz="1800"/>
            <a:t>growing a large broiler the average number of operating hours per fan is between 1,750 and 2,500</a:t>
          </a:r>
        </a:p>
        <a:p>
          <a:r>
            <a:rPr lang="en-US" sz="1800"/>
            <a:t>hours.  For producers growing smaller birds the average tunnel fan operating hours is often 30% </a:t>
          </a:r>
        </a:p>
        <a:p>
          <a:r>
            <a:rPr lang="en-US" sz="1800"/>
            <a:t>or lower.</a:t>
          </a:r>
        </a:p>
      </xdr:txBody>
    </xdr:sp>
    <xdr:clientData/>
  </xdr:oneCellAnchor>
  <xdr:oneCellAnchor>
    <xdr:from>
      <xdr:col>5</xdr:col>
      <xdr:colOff>21771</xdr:colOff>
      <xdr:row>23</xdr:row>
      <xdr:rowOff>154983</xdr:rowOff>
    </xdr:from>
    <xdr:ext cx="9501583" cy="65594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0118271" y="7998140"/>
          <a:ext cx="9501583" cy="655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/>
            <a:t>More details on Tunnel</a:t>
          </a:r>
          <a:r>
            <a:rPr lang="en-US" sz="1800" baseline="0"/>
            <a:t> performance fan ratings can be found at</a:t>
          </a:r>
        </a:p>
        <a:p>
          <a:pPr algn="ctr"/>
          <a:r>
            <a:rPr lang="en-US" sz="1800" baseline="0"/>
            <a:t>www.poultryventilation.com (https://www.poultryventilation.com/tips/vol24/n12</a:t>
          </a:r>
          <a:r>
            <a:rPr lang="en-US" sz="1600" baseline="0"/>
            <a:t>)</a:t>
          </a:r>
          <a:endParaRPr lang="en-US" sz="1600"/>
        </a:p>
      </xdr:txBody>
    </xdr:sp>
    <xdr:clientData/>
  </xdr:oneCellAnchor>
  <xdr:twoCellAnchor>
    <xdr:from>
      <xdr:col>6</xdr:col>
      <xdr:colOff>2362200</xdr:colOff>
      <xdr:row>5</xdr:row>
      <xdr:rowOff>97972</xdr:rowOff>
    </xdr:from>
    <xdr:to>
      <xdr:col>7</xdr:col>
      <xdr:colOff>908957</xdr:colOff>
      <xdr:row>9</xdr:row>
      <xdr:rowOff>168729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4902543" y="2258786"/>
          <a:ext cx="914400" cy="129540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2362202</xdr:colOff>
      <xdr:row>7</xdr:row>
      <xdr:rowOff>195943</xdr:rowOff>
    </xdr:from>
    <xdr:to>
      <xdr:col>7</xdr:col>
      <xdr:colOff>876300</xdr:colOff>
      <xdr:row>11</xdr:row>
      <xdr:rowOff>272145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4902545" y="2950029"/>
          <a:ext cx="881741" cy="133894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48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10</xdr:col>
      <xdr:colOff>0</xdr:colOff>
      <xdr:row>95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95</xdr:row>
      <xdr:rowOff>0</xdr:rowOff>
    </xdr:from>
    <xdr:to>
      <xdr:col>10</xdr:col>
      <xdr:colOff>9525</xdr:colOff>
      <xdr:row>95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48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209550</xdr:rowOff>
    </xdr:from>
    <xdr:to>
      <xdr:col>17</xdr:col>
      <xdr:colOff>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9</xdr:row>
      <xdr:rowOff>110490</xdr:rowOff>
    </xdr:from>
    <xdr:to>
      <xdr:col>15</xdr:col>
      <xdr:colOff>365760</xdr:colOff>
      <xdr:row>26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\AppData\Local\Temp\PsychProcess09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ing"/>
      <sheetName val="Heat Rec'ry"/>
      <sheetName val="Htg Coil"/>
      <sheetName val="Clg-Coil"/>
      <sheetName val="Clg Coil-BP"/>
    </sheetNames>
    <sheetDataSet>
      <sheetData sheetId="0">
        <row r="6">
          <cell r="B6">
            <v>5000</v>
          </cell>
          <cell r="F6">
            <v>1000</v>
          </cell>
        </row>
        <row r="10">
          <cell r="B10" t="e">
            <v>#NAME?</v>
          </cell>
          <cell r="F10" t="e">
            <v>#NAME?</v>
          </cell>
        </row>
        <row r="13">
          <cell r="D13" t="e">
            <v>#NAME?</v>
          </cell>
        </row>
        <row r="15">
          <cell r="D15" t="e">
            <v>#NAME?</v>
          </cell>
        </row>
        <row r="16">
          <cell r="D16" t="e">
            <v>#NAME?</v>
          </cell>
        </row>
        <row r="18">
          <cell r="D18" t="e">
            <v>#VALUE!</v>
          </cell>
        </row>
        <row r="22">
          <cell r="D22" t="e">
            <v>#NAME?</v>
          </cell>
        </row>
      </sheetData>
      <sheetData sheetId="1">
        <row r="6">
          <cell r="B6">
            <v>70</v>
          </cell>
          <cell r="F6">
            <v>75</v>
          </cell>
        </row>
        <row r="7">
          <cell r="B7">
            <v>65</v>
          </cell>
          <cell r="F7">
            <v>63</v>
          </cell>
        </row>
        <row r="9">
          <cell r="B9">
            <v>10000</v>
          </cell>
          <cell r="F9">
            <v>96</v>
          </cell>
        </row>
        <row r="10">
          <cell r="F10">
            <v>75</v>
          </cell>
        </row>
        <row r="11">
          <cell r="B11">
            <v>41883.187178557091</v>
          </cell>
        </row>
        <row r="12">
          <cell r="B12">
            <v>0</v>
          </cell>
        </row>
        <row r="14">
          <cell r="E14">
            <v>280.08483792107023</v>
          </cell>
          <cell r="H14">
            <v>81.3</v>
          </cell>
        </row>
        <row r="15">
          <cell r="B15">
            <v>2000</v>
          </cell>
          <cell r="E15">
            <v>151.54765823018138</v>
          </cell>
          <cell r="H15">
            <v>67.300000000012744</v>
          </cell>
        </row>
        <row r="18">
          <cell r="B18">
            <v>9.5379764374263539E-3</v>
          </cell>
          <cell r="E18">
            <v>1.3841563374104224E-2</v>
          </cell>
          <cell r="H18">
            <v>1.1044231865263609E-2</v>
          </cell>
        </row>
        <row r="21">
          <cell r="E21">
            <v>0.24614565413810227</v>
          </cell>
        </row>
        <row r="22">
          <cell r="B22">
            <v>28.437407615475657</v>
          </cell>
          <cell r="E22">
            <v>38.315881537182399</v>
          </cell>
          <cell r="H22">
            <v>31.628595855531479</v>
          </cell>
        </row>
        <row r="23">
          <cell r="E23">
            <v>14.325557351738064</v>
          </cell>
        </row>
      </sheetData>
      <sheetData sheetId="2">
        <row r="3">
          <cell r="B3">
            <v>2000</v>
          </cell>
          <cell r="J3">
            <v>20</v>
          </cell>
        </row>
        <row r="4">
          <cell r="B4">
            <v>75</v>
          </cell>
          <cell r="J4">
            <v>15</v>
          </cell>
        </row>
        <row r="5">
          <cell r="J5">
            <v>20</v>
          </cell>
        </row>
        <row r="6">
          <cell r="B6">
            <v>8923.5438907123807</v>
          </cell>
          <cell r="F6">
            <v>102.5849952388125</v>
          </cell>
          <cell r="J6">
            <v>7.3535100911001491E-4</v>
          </cell>
        </row>
        <row r="7">
          <cell r="F7">
            <v>68.184995238820591</v>
          </cell>
        </row>
        <row r="8">
          <cell r="B8">
            <v>68</v>
          </cell>
        </row>
        <row r="9">
          <cell r="B9">
            <v>56</v>
          </cell>
        </row>
        <row r="10">
          <cell r="B10">
            <v>0</v>
          </cell>
          <cell r="F10">
            <v>6.7944449113485194E-3</v>
          </cell>
        </row>
        <row r="11">
          <cell r="B11">
            <v>14.696</v>
          </cell>
        </row>
        <row r="12">
          <cell r="B12">
            <v>29.921349920000001</v>
          </cell>
        </row>
        <row r="14">
          <cell r="J14" t="str">
            <v>Sat Steam</v>
          </cell>
        </row>
        <row r="15">
          <cell r="B15">
            <v>6.7944449113485194E-3</v>
          </cell>
          <cell r="J15">
            <v>212</v>
          </cell>
        </row>
        <row r="16">
          <cell r="J16">
            <v>1150.04</v>
          </cell>
        </row>
        <row r="17">
          <cell r="J17">
            <v>10.813718074914609</v>
          </cell>
        </row>
        <row r="18">
          <cell r="B18">
            <v>0.24301673354063874</v>
          </cell>
          <cell r="J18">
            <v>0.47031306094073067</v>
          </cell>
        </row>
        <row r="20">
          <cell r="B20">
            <v>13.447572115927612</v>
          </cell>
        </row>
      </sheetData>
      <sheetData sheetId="3">
        <row r="3">
          <cell r="B3">
            <v>4000</v>
          </cell>
          <cell r="I3">
            <v>2</v>
          </cell>
        </row>
        <row r="4">
          <cell r="B4">
            <v>120</v>
          </cell>
          <cell r="I4">
            <v>65</v>
          </cell>
        </row>
        <row r="5">
          <cell r="B5">
            <v>100</v>
          </cell>
          <cell r="I5">
            <v>82</v>
          </cell>
        </row>
        <row r="6">
          <cell r="B6">
            <v>3897.1217604865501</v>
          </cell>
          <cell r="I6">
            <v>1.8883691147118353</v>
          </cell>
        </row>
        <row r="7">
          <cell r="I7">
            <v>5.8608529230995376</v>
          </cell>
        </row>
        <row r="8">
          <cell r="B8">
            <v>75</v>
          </cell>
          <cell r="F8">
            <v>17537.047922189475</v>
          </cell>
          <cell r="I8">
            <v>114.13914707690046</v>
          </cell>
        </row>
        <row r="9">
          <cell r="B9">
            <v>63</v>
          </cell>
          <cell r="I9">
            <v>94.139147076900457</v>
          </cell>
        </row>
        <row r="10">
          <cell r="B10">
            <v>0</v>
          </cell>
        </row>
        <row r="11">
          <cell r="B11">
            <v>14.696</v>
          </cell>
        </row>
        <row r="12">
          <cell r="B12">
            <v>29.921349920000001</v>
          </cell>
          <cell r="I12">
            <v>53.020893425035787</v>
          </cell>
        </row>
        <row r="13">
          <cell r="I13">
            <v>52.920893425051702</v>
          </cell>
        </row>
        <row r="15">
          <cell r="B15">
            <v>9.5330130152183248E-3</v>
          </cell>
          <cell r="I15">
            <v>8.4614514704775042E-3</v>
          </cell>
        </row>
        <row r="18">
          <cell r="B18">
            <v>0.24423265777875694</v>
          </cell>
        </row>
        <row r="20">
          <cell r="B20">
            <v>13.685313575287097</v>
          </cell>
        </row>
      </sheetData>
      <sheetData sheetId="4">
        <row r="4">
          <cell r="B4">
            <v>4000</v>
          </cell>
          <cell r="F4">
            <v>17325.769365781845</v>
          </cell>
        </row>
        <row r="5">
          <cell r="B5">
            <v>47</v>
          </cell>
        </row>
        <row r="6">
          <cell r="B6">
            <v>0.1</v>
          </cell>
        </row>
        <row r="8">
          <cell r="F8">
            <v>50.28</v>
          </cell>
        </row>
        <row r="9">
          <cell r="B9">
            <v>79.8</v>
          </cell>
          <cell r="F9">
            <v>49.480000000015764</v>
          </cell>
        </row>
        <row r="10">
          <cell r="B10">
            <v>67.099999999999994</v>
          </cell>
          <cell r="F10">
            <v>6.812974961532701E-3</v>
          </cell>
        </row>
        <row r="11">
          <cell r="B11">
            <v>0</v>
          </cell>
        </row>
        <row r="12">
          <cell r="F12">
            <v>201.02158157377792</v>
          </cell>
        </row>
        <row r="13">
          <cell r="F13">
            <v>125.31448285034858</v>
          </cell>
        </row>
        <row r="16">
          <cell r="B16">
            <v>1.1294677954511717E-2</v>
          </cell>
          <cell r="F16">
            <v>7.2611452608306029E-3</v>
          </cell>
        </row>
        <row r="19">
          <cell r="B19">
            <v>0.24501483701180318</v>
          </cell>
        </row>
        <row r="20">
          <cell r="B20">
            <v>31.535837303278825</v>
          </cell>
          <cell r="F20">
            <v>19.933375252110537</v>
          </cell>
        </row>
        <row r="21">
          <cell r="B21">
            <v>13.852198706626945</v>
          </cell>
          <cell r="F21">
            <v>13.010798391517705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=+@roundup((E80/D76),1)" TargetMode="External"/><Relationship Id="rId1" Type="http://schemas.openxmlformats.org/officeDocument/2006/relationships/hyperlink" Target="mailto:=+@roundup((E80/D76),1)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154"/>
  <sheetViews>
    <sheetView tabSelected="1" zoomScale="70" zoomScaleNormal="70" workbookViewId="0">
      <selection activeCell="F4" sqref="F4"/>
    </sheetView>
  </sheetViews>
  <sheetFormatPr defaultColWidth="9.109375" defaultRowHeight="19.8" x14ac:dyDescent="0.65"/>
  <cols>
    <col min="1" max="1" width="3.33203125" style="3" customWidth="1"/>
    <col min="2" max="2" width="25.6640625" style="3" customWidth="1"/>
    <col min="3" max="3" width="99.109375" style="5" customWidth="1"/>
    <col min="4" max="5" width="40.609375" style="1" customWidth="1"/>
    <col min="6" max="6" width="15.6640625" customWidth="1"/>
    <col min="7" max="7" width="15.6640625" style="1" customWidth="1"/>
    <col min="8" max="8" width="5.77734375" style="1" customWidth="1"/>
    <col min="9" max="9" width="30.94140625" style="312" customWidth="1"/>
    <col min="10" max="10" width="35.44140625" style="313" customWidth="1"/>
    <col min="11" max="11" width="19.33203125" style="1" customWidth="1"/>
    <col min="12" max="12" width="32" style="19" customWidth="1"/>
    <col min="13" max="13" width="23" style="19" customWidth="1"/>
    <col min="14" max="14" width="3.109375" style="19" customWidth="1"/>
    <col min="15" max="15" width="3.109375" style="16" customWidth="1"/>
    <col min="16" max="17" width="25.6640625" style="327" customWidth="1"/>
    <col min="18" max="18" width="25.6640625" style="330" customWidth="1"/>
    <col min="19" max="21" width="25.6640625" style="16" customWidth="1"/>
    <col min="22" max="24" width="9.109375" style="16"/>
    <col min="25" max="16384" width="9.109375" style="3"/>
  </cols>
  <sheetData>
    <row r="1" spans="2:18" ht="34.799999999999997" x14ac:dyDescent="1.1000000000000001">
      <c r="B1" s="273" t="s">
        <v>204</v>
      </c>
      <c r="P1" s="327" t="s">
        <v>0</v>
      </c>
      <c r="Q1" s="328">
        <f>+D16*SQRT((D19-D18)^2+(D17/2)^2)*2</f>
        <v>30149.626863362671</v>
      </c>
      <c r="R1" s="329" t="s">
        <v>139</v>
      </c>
    </row>
    <row r="2" spans="2:18" ht="20.100000000000001" x14ac:dyDescent="0.7">
      <c r="B2" s="2" t="s">
        <v>1</v>
      </c>
      <c r="P2" s="327" t="s">
        <v>2</v>
      </c>
      <c r="Q2" s="328">
        <f>+AVERAGE(D18,D19)*D17*2</f>
        <v>1140</v>
      </c>
      <c r="R2" s="329" t="s">
        <v>140</v>
      </c>
    </row>
    <row r="3" spans="2:18" x14ac:dyDescent="0.65">
      <c r="B3" s="272" t="s">
        <v>3</v>
      </c>
      <c r="F3" s="3"/>
      <c r="P3" s="327" t="s">
        <v>135</v>
      </c>
      <c r="Q3" s="328">
        <f>+D49*D16*2</f>
        <v>2000</v>
      </c>
      <c r="R3" s="329" t="s">
        <v>141</v>
      </c>
    </row>
    <row r="4" spans="2:18" x14ac:dyDescent="0.65">
      <c r="B4" s="272" t="s">
        <v>4</v>
      </c>
      <c r="F4" s="3"/>
      <c r="P4" s="327" t="s">
        <v>6</v>
      </c>
      <c r="Q4" s="328">
        <f>+D50*D16*2</f>
        <v>2000</v>
      </c>
      <c r="R4" s="329" t="s">
        <v>142</v>
      </c>
    </row>
    <row r="5" spans="2:18" x14ac:dyDescent="0.65">
      <c r="B5" s="272" t="s">
        <v>147</v>
      </c>
      <c r="F5" s="3"/>
      <c r="P5" s="327" t="s">
        <v>5</v>
      </c>
      <c r="Q5" s="328">
        <f>IF(D48=0,0,+D48*D16*2)</f>
        <v>3000</v>
      </c>
      <c r="R5" s="329" t="s">
        <v>143</v>
      </c>
    </row>
    <row r="6" spans="2:18" ht="20.100000000000001" x14ac:dyDescent="0.7">
      <c r="B6" s="381" t="s">
        <v>195</v>
      </c>
      <c r="F6" s="3"/>
      <c r="P6" s="327" t="s">
        <v>136</v>
      </c>
      <c r="Q6" s="328">
        <f>+D51*2*D16</f>
        <v>0</v>
      </c>
      <c r="R6" s="329" t="s">
        <v>144</v>
      </c>
    </row>
    <row r="7" spans="2:18" x14ac:dyDescent="0.65">
      <c r="B7" s="272"/>
      <c r="F7" s="3"/>
      <c r="P7" s="327" t="s">
        <v>137</v>
      </c>
      <c r="Q7" s="328">
        <f>+D12-D11</f>
        <v>10</v>
      </c>
      <c r="R7" s="329" t="s">
        <v>145</v>
      </c>
    </row>
    <row r="8" spans="2:18" ht="25.2" x14ac:dyDescent="0.85">
      <c r="C8" s="380" t="s">
        <v>196</v>
      </c>
      <c r="D8" s="377">
        <v>1</v>
      </c>
      <c r="E8" s="353"/>
      <c r="F8" s="3"/>
      <c r="P8" s="327" t="s">
        <v>138</v>
      </c>
      <c r="Q8" s="328">
        <f>+D13-D11</f>
        <v>50</v>
      </c>
      <c r="R8" s="329" t="s">
        <v>145</v>
      </c>
    </row>
    <row r="9" spans="2:18" ht="24.9" x14ac:dyDescent="0.8">
      <c r="D9" s="373" t="s">
        <v>41</v>
      </c>
      <c r="E9" s="353"/>
      <c r="P9" s="327" t="str">
        <f>+P1</f>
        <v>Ceiling</v>
      </c>
      <c r="Q9" s="328">
        <f>+IF(D73=0,0,Q1/D73*$Q$8)</f>
        <v>125623.44526401114</v>
      </c>
      <c r="R9" s="329" t="s">
        <v>146</v>
      </c>
    </row>
    <row r="10" spans="2:18" ht="24" customHeight="1" thickBot="1" x14ac:dyDescent="1">
      <c r="C10" s="489" t="s">
        <v>205</v>
      </c>
      <c r="D10" s="378"/>
      <c r="E10" s="379" t="s">
        <v>127</v>
      </c>
      <c r="F10" s="3"/>
      <c r="P10" s="327" t="str">
        <f>+P2</f>
        <v>End walls</v>
      </c>
      <c r="Q10" s="328">
        <f>+IF(D74=0,0,Q2*$Q$7/D74)</f>
        <v>950</v>
      </c>
      <c r="R10" s="329" t="s">
        <v>146</v>
      </c>
    </row>
    <row r="11" spans="2:18" ht="25.2" customHeight="1" x14ac:dyDescent="0.85">
      <c r="C11" s="492" t="s">
        <v>188</v>
      </c>
      <c r="D11" s="395">
        <v>85</v>
      </c>
      <c r="E11" s="410">
        <f>+(D11-32)*5/9</f>
        <v>29.444444444444443</v>
      </c>
      <c r="F11" s="3"/>
      <c r="G11" s="5"/>
      <c r="H11" s="5"/>
      <c r="J11" s="306"/>
      <c r="K11" s="5"/>
      <c r="L11" s="18"/>
      <c r="M11" s="18"/>
      <c r="N11" s="18"/>
      <c r="P11" s="327" t="str">
        <f>+IF(D48&lt;&gt;0,"Upper side walls","Side walls")</f>
        <v>Upper side walls</v>
      </c>
      <c r="Q11" s="328">
        <f>+IF(D75=0,0,Q3*$Q$7/D75)</f>
        <v>1666.6666666666667</v>
      </c>
      <c r="R11" s="329" t="s">
        <v>146</v>
      </c>
    </row>
    <row r="12" spans="2:18" ht="25.2" x14ac:dyDescent="0.85">
      <c r="C12" s="493" t="s">
        <v>75</v>
      </c>
      <c r="D12" s="396">
        <v>95</v>
      </c>
      <c r="E12" s="411">
        <f>+(D12-32)*5/9</f>
        <v>35</v>
      </c>
      <c r="F12" s="3"/>
      <c r="G12" s="5"/>
      <c r="H12" s="5"/>
      <c r="J12" s="306"/>
      <c r="K12" s="5"/>
      <c r="L12" s="18"/>
      <c r="M12" s="18"/>
      <c r="N12" s="18"/>
      <c r="P12" s="327" t="s">
        <v>6</v>
      </c>
      <c r="Q12" s="328">
        <f>+IF(D76=0,0,Q4*$Q$7/D76)</f>
        <v>1666.6666666666667</v>
      </c>
      <c r="R12" s="329" t="s">
        <v>146</v>
      </c>
    </row>
    <row r="13" spans="2:18" ht="25.5" thickBot="1" x14ac:dyDescent="0.9">
      <c r="C13" s="494" t="s">
        <v>211</v>
      </c>
      <c r="D13" s="397">
        <v>135</v>
      </c>
      <c r="E13" s="412">
        <f>+(D13-32)*5/9</f>
        <v>57.222222222222221</v>
      </c>
      <c r="F13" s="3"/>
      <c r="G13" s="5"/>
      <c r="H13" s="5"/>
      <c r="J13" s="306"/>
      <c r="K13" s="5"/>
      <c r="L13" s="18"/>
      <c r="M13" s="18"/>
      <c r="N13" s="18"/>
      <c r="P13" s="327" t="str">
        <f>+P5</f>
        <v>Curtains</v>
      </c>
      <c r="Q13" s="328">
        <f>+IF(D78=0,0,Q5*$Q$7/D78)</f>
        <v>20000</v>
      </c>
      <c r="R13" s="329" t="s">
        <v>146</v>
      </c>
    </row>
    <row r="14" spans="2:18" ht="24.9" x14ac:dyDescent="0.8">
      <c r="D14" s="373"/>
      <c r="E14" s="353"/>
      <c r="P14" s="327" t="str">
        <f>+P6</f>
        <v>Foundation</v>
      </c>
      <c r="Q14" s="328">
        <f>+IF(D77=0,0,Q6*$Q$7/D77)</f>
        <v>0</v>
      </c>
      <c r="R14" s="329" t="s">
        <v>146</v>
      </c>
    </row>
    <row r="15" spans="2:18" ht="27.9" thickBot="1" x14ac:dyDescent="1">
      <c r="C15" s="489" t="s">
        <v>206</v>
      </c>
      <c r="D15" s="377"/>
      <c r="E15" s="350"/>
      <c r="F15" s="3"/>
      <c r="G15" s="5"/>
      <c r="H15" s="5"/>
      <c r="J15" s="306"/>
      <c r="K15" s="5"/>
      <c r="L15" s="18"/>
      <c r="M15" s="18"/>
      <c r="N15" s="18"/>
      <c r="P15" s="327" t="s">
        <v>10</v>
      </c>
      <c r="Q15" s="328">
        <f>+D69*D70*3.4*0.85</f>
        <v>4335</v>
      </c>
      <c r="R15" s="329" t="s">
        <v>146</v>
      </c>
    </row>
    <row r="16" spans="2:18" ht="25.2" customHeight="1" x14ac:dyDescent="0.85">
      <c r="C16" s="492" t="s">
        <v>7</v>
      </c>
      <c r="D16" s="395">
        <v>500</v>
      </c>
      <c r="E16" s="413">
        <f>+D16*0.305</f>
        <v>152.5</v>
      </c>
      <c r="F16" s="3"/>
      <c r="G16" s="5"/>
      <c r="H16" s="5"/>
      <c r="J16" s="306"/>
      <c r="K16" s="5"/>
      <c r="L16" s="18"/>
      <c r="M16" s="18"/>
      <c r="N16" s="18"/>
      <c r="P16" s="327" t="s">
        <v>12</v>
      </c>
      <c r="Q16" s="328">
        <f>+D34*D35*D36</f>
        <v>1333000</v>
      </c>
      <c r="R16" s="329" t="s">
        <v>146</v>
      </c>
    </row>
    <row r="17" spans="3:18" ht="25.2" customHeight="1" x14ac:dyDescent="0.85">
      <c r="C17" s="493" t="s">
        <v>8</v>
      </c>
      <c r="D17" s="396">
        <v>60</v>
      </c>
      <c r="E17" s="414">
        <f>+D17*0.305</f>
        <v>18.3</v>
      </c>
      <c r="F17" s="3"/>
      <c r="G17" s="5"/>
      <c r="H17" s="5"/>
      <c r="J17" s="306"/>
      <c r="K17" s="5"/>
      <c r="L17" s="18"/>
      <c r="M17" s="18"/>
      <c r="N17" s="18"/>
      <c r="P17" s="327" t="s">
        <v>14</v>
      </c>
      <c r="Q17" s="328">
        <f>+SUM(Q9:Q16)</f>
        <v>1487241.7785973444</v>
      </c>
      <c r="R17" s="329" t="s">
        <v>146</v>
      </c>
    </row>
    <row r="18" spans="3:18" ht="25.2" customHeight="1" x14ac:dyDescent="0.85">
      <c r="C18" s="493" t="s">
        <v>9</v>
      </c>
      <c r="D18" s="396">
        <v>8</v>
      </c>
      <c r="E18" s="414">
        <f>+D18*0.305</f>
        <v>2.44</v>
      </c>
      <c r="F18" s="3"/>
      <c r="G18" s="5"/>
      <c r="H18" s="5"/>
      <c r="J18" s="306"/>
      <c r="K18" s="5"/>
      <c r="L18" s="18"/>
      <c r="M18" s="18"/>
      <c r="N18" s="18"/>
      <c r="P18" s="327" t="s">
        <v>15</v>
      </c>
      <c r="Q18" s="328">
        <f>+SUM(Q11:Q14)</f>
        <v>23333.333333333332</v>
      </c>
      <c r="R18" s="329" t="s">
        <v>146</v>
      </c>
    </row>
    <row r="19" spans="3:18" ht="25.2" customHeight="1" x14ac:dyDescent="0.85">
      <c r="C19" s="493" t="s">
        <v>11</v>
      </c>
      <c r="D19" s="396">
        <v>11</v>
      </c>
      <c r="E19" s="414">
        <f>+D19*0.305</f>
        <v>3.355</v>
      </c>
      <c r="F19" s="3"/>
      <c r="G19" s="5"/>
      <c r="H19" s="5"/>
      <c r="J19" s="306"/>
      <c r="K19" s="5"/>
      <c r="L19" s="18"/>
      <c r="M19" s="18"/>
      <c r="N19" s="18"/>
    </row>
    <row r="20" spans="3:18" ht="25.2" customHeight="1" thickBot="1" x14ac:dyDescent="0.9">
      <c r="C20" s="495" t="s">
        <v>13</v>
      </c>
      <c r="D20" s="397" t="s">
        <v>187</v>
      </c>
      <c r="E20" s="404" t="str">
        <f>+D20</f>
        <v>d</v>
      </c>
      <c r="F20" s="3"/>
      <c r="G20" s="5"/>
      <c r="H20" s="5"/>
      <c r="J20" s="306"/>
      <c r="K20" s="5"/>
      <c r="L20" s="18"/>
      <c r="M20" s="18"/>
      <c r="N20" s="18"/>
    </row>
    <row r="21" spans="3:18" x14ac:dyDescent="0.65">
      <c r="C21" s="6"/>
      <c r="D21" s="4"/>
      <c r="E21" s="274"/>
      <c r="F21" s="3"/>
      <c r="G21" s="5"/>
      <c r="H21" s="5"/>
      <c r="J21" s="306"/>
      <c r="K21" s="5"/>
      <c r="L21" s="18"/>
      <c r="M21" s="18"/>
      <c r="N21" s="18"/>
    </row>
    <row r="22" spans="3:18" x14ac:dyDescent="0.65">
      <c r="C22" s="6"/>
      <c r="D22" s="4"/>
      <c r="E22" s="274"/>
      <c r="F22" s="3"/>
      <c r="G22" s="5"/>
      <c r="H22" s="5"/>
      <c r="J22" s="306"/>
      <c r="K22" s="5"/>
      <c r="L22" s="18"/>
      <c r="M22" s="18"/>
      <c r="N22" s="18"/>
    </row>
    <row r="23" spans="3:18" x14ac:dyDescent="0.65">
      <c r="C23" s="6"/>
      <c r="D23" s="4"/>
      <c r="E23" s="4"/>
      <c r="F23" s="3"/>
      <c r="G23" s="5"/>
      <c r="H23" s="5"/>
      <c r="J23" s="306"/>
      <c r="K23" s="5"/>
      <c r="L23" s="18"/>
      <c r="M23" s="18"/>
      <c r="N23" s="18"/>
    </row>
    <row r="24" spans="3:18" x14ac:dyDescent="0.65">
      <c r="C24" s="6"/>
      <c r="D24" s="4"/>
      <c r="E24" s="4"/>
      <c r="F24" s="3"/>
      <c r="G24" s="5"/>
      <c r="H24" s="5"/>
      <c r="J24" s="306"/>
      <c r="K24" s="5"/>
      <c r="L24" s="18"/>
      <c r="M24" s="18"/>
      <c r="N24" s="18"/>
    </row>
    <row r="25" spans="3:18" x14ac:dyDescent="0.65">
      <c r="C25" s="6"/>
      <c r="D25" s="4"/>
      <c r="E25" s="4"/>
      <c r="F25" s="3"/>
      <c r="G25" s="5"/>
      <c r="H25" s="5"/>
      <c r="J25" s="306"/>
      <c r="K25" s="5"/>
      <c r="L25" s="18"/>
      <c r="M25" s="18"/>
      <c r="N25" s="18"/>
    </row>
    <row r="26" spans="3:18" x14ac:dyDescent="0.65">
      <c r="C26" s="6"/>
      <c r="D26" s="4"/>
      <c r="E26" s="4"/>
      <c r="F26" s="3"/>
      <c r="G26" s="5"/>
      <c r="H26" s="5"/>
      <c r="J26" s="306"/>
      <c r="K26" s="5"/>
      <c r="L26" s="18"/>
      <c r="M26" s="18"/>
      <c r="N26" s="18"/>
    </row>
    <row r="27" spans="3:18" x14ac:dyDescent="0.65">
      <c r="C27" s="6"/>
      <c r="D27" s="4"/>
      <c r="E27" s="4"/>
      <c r="F27" s="3"/>
      <c r="G27" s="5"/>
      <c r="H27" s="5"/>
      <c r="J27" s="306"/>
      <c r="K27" s="5"/>
      <c r="L27" s="18"/>
      <c r="M27" s="18"/>
      <c r="N27" s="18"/>
    </row>
    <row r="28" spans="3:18" x14ac:dyDescent="0.65">
      <c r="C28" s="6"/>
      <c r="D28" s="4"/>
      <c r="E28" s="4"/>
      <c r="F28" s="3"/>
      <c r="G28" s="5"/>
      <c r="H28" s="5"/>
      <c r="J28" s="306"/>
      <c r="K28" s="5"/>
      <c r="L28" s="18"/>
      <c r="M28" s="18"/>
      <c r="N28" s="18"/>
    </row>
    <row r="29" spans="3:18" x14ac:dyDescent="0.65">
      <c r="C29" s="6"/>
      <c r="D29" s="4"/>
      <c r="E29" s="4"/>
      <c r="F29" s="3"/>
      <c r="G29" s="5"/>
      <c r="H29" s="5"/>
      <c r="J29" s="306"/>
      <c r="K29" s="5"/>
      <c r="L29" s="18"/>
      <c r="M29" s="18"/>
      <c r="N29" s="18"/>
    </row>
    <row r="30" spans="3:18" x14ac:dyDescent="0.65">
      <c r="C30" s="6"/>
      <c r="D30" s="4"/>
      <c r="E30" s="4"/>
      <c r="F30" s="3"/>
      <c r="G30" s="5"/>
      <c r="H30" s="5"/>
      <c r="J30" s="306"/>
      <c r="K30" s="5"/>
      <c r="L30" s="18"/>
      <c r="M30" s="18"/>
      <c r="N30" s="18"/>
    </row>
    <row r="31" spans="3:18" x14ac:dyDescent="0.65">
      <c r="C31" s="6"/>
      <c r="D31" s="4"/>
      <c r="E31" s="4"/>
      <c r="F31" s="3"/>
      <c r="G31" s="5"/>
      <c r="H31" s="5"/>
      <c r="J31" s="306"/>
      <c r="K31" s="5"/>
      <c r="L31" s="18"/>
      <c r="M31" s="18"/>
      <c r="N31" s="18"/>
    </row>
    <row r="32" spans="3:18" x14ac:dyDescent="0.65">
      <c r="C32" s="6"/>
      <c r="D32" s="7"/>
      <c r="E32" s="7"/>
      <c r="F32" s="3"/>
      <c r="G32" s="5"/>
      <c r="H32" s="5"/>
      <c r="J32" s="306"/>
      <c r="K32" s="5"/>
      <c r="L32" s="18"/>
      <c r="M32" s="18"/>
      <c r="N32" s="18"/>
    </row>
    <row r="33" spans="2:10" ht="27.9" thickBot="1" x14ac:dyDescent="1">
      <c r="C33" s="489" t="s">
        <v>207</v>
      </c>
      <c r="D33" s="7"/>
      <c r="E33" s="307" t="s">
        <v>127</v>
      </c>
      <c r="F33" s="3"/>
      <c r="G33" s="5"/>
      <c r="H33" s="5"/>
      <c r="J33" s="306"/>
    </row>
    <row r="34" spans="2:10" ht="25.2" customHeight="1" x14ac:dyDescent="0.85">
      <c r="C34" s="492" t="s">
        <v>16</v>
      </c>
      <c r="D34" s="395">
        <v>43000</v>
      </c>
      <c r="E34" s="405">
        <f>+D34</f>
        <v>43000</v>
      </c>
      <c r="F34" s="3"/>
      <c r="G34" s="5"/>
      <c r="H34" s="5"/>
      <c r="J34" s="306"/>
    </row>
    <row r="35" spans="2:10" ht="25.2" customHeight="1" x14ac:dyDescent="0.85">
      <c r="C35" s="493" t="s">
        <v>17</v>
      </c>
      <c r="D35" s="396">
        <v>5</v>
      </c>
      <c r="E35" s="406">
        <f>+D35/2.2</f>
        <v>2.2727272727272725</v>
      </c>
      <c r="F35" s="3"/>
      <c r="G35" s="5"/>
      <c r="H35" s="5"/>
      <c r="J35" s="306"/>
    </row>
    <row r="36" spans="2:10" ht="25.2" customHeight="1" x14ac:dyDescent="0.85">
      <c r="C36" s="493" t="s">
        <v>18</v>
      </c>
      <c r="D36" s="409">
        <v>6.2</v>
      </c>
      <c r="E36" s="407">
        <f>+D36*0.293*2.2</f>
        <v>3.9965200000000003</v>
      </c>
      <c r="F36" s="3"/>
      <c r="G36" s="5"/>
      <c r="H36" s="5"/>
      <c r="J36" s="306"/>
    </row>
    <row r="37" spans="2:10" ht="25.2" customHeight="1" thickBot="1" x14ac:dyDescent="0.9">
      <c r="C37" s="495" t="s">
        <v>194</v>
      </c>
      <c r="D37" s="483">
        <f>+D34*D35/(D16*D17)</f>
        <v>7.166666666666667</v>
      </c>
      <c r="E37" s="408">
        <f>+D37/2.2/0.09303</f>
        <v>35.016400704888284</v>
      </c>
      <c r="F37" s="3"/>
      <c r="G37" s="5"/>
      <c r="H37" s="5"/>
      <c r="J37" s="306"/>
    </row>
    <row r="38" spans="2:10" x14ac:dyDescent="0.65">
      <c r="C38" s="6"/>
      <c r="D38" s="7"/>
      <c r="E38" s="7"/>
      <c r="F38" s="3"/>
      <c r="G38" s="5"/>
      <c r="H38" s="5"/>
      <c r="J38" s="306"/>
    </row>
    <row r="39" spans="2:10" x14ac:dyDescent="0.65">
      <c r="C39" s="6"/>
      <c r="D39" s="7"/>
      <c r="E39" s="7"/>
      <c r="F39" s="3"/>
      <c r="G39" s="5"/>
      <c r="H39" s="5"/>
      <c r="J39" s="306"/>
    </row>
    <row r="40" spans="2:10" x14ac:dyDescent="0.65">
      <c r="C40" s="6"/>
      <c r="D40" s="7"/>
      <c r="E40" s="7"/>
      <c r="F40" s="3"/>
      <c r="G40" s="5"/>
      <c r="H40" s="5"/>
      <c r="J40" s="306"/>
    </row>
    <row r="41" spans="2:10" x14ac:dyDescent="0.65">
      <c r="C41" s="6"/>
      <c r="D41" s="7"/>
      <c r="E41" s="7"/>
      <c r="F41" s="3"/>
      <c r="G41" s="5"/>
      <c r="H41" s="5"/>
      <c r="J41" s="306"/>
    </row>
    <row r="42" spans="2:10" x14ac:dyDescent="0.65">
      <c r="C42" s="6"/>
      <c r="D42" s="7"/>
      <c r="E42" s="7"/>
      <c r="F42" s="3"/>
      <c r="G42" s="5"/>
      <c r="H42" s="5"/>
      <c r="J42" s="306"/>
    </row>
    <row r="43" spans="2:10" x14ac:dyDescent="0.65">
      <c r="C43" s="6"/>
      <c r="D43" s="7"/>
      <c r="E43" s="7"/>
      <c r="F43" s="3"/>
      <c r="G43" s="5"/>
      <c r="H43" s="5"/>
      <c r="J43" s="306"/>
    </row>
    <row r="44" spans="2:10" x14ac:dyDescent="0.65">
      <c r="C44" s="6"/>
      <c r="D44" s="7"/>
      <c r="E44" s="7"/>
      <c r="F44" s="3"/>
      <c r="G44" s="5"/>
      <c r="H44" s="5"/>
      <c r="J44" s="306"/>
    </row>
    <row r="45" spans="2:10" x14ac:dyDescent="0.65">
      <c r="C45" s="6"/>
      <c r="D45" s="7"/>
      <c r="E45" s="7"/>
      <c r="F45" s="3"/>
      <c r="G45" s="5"/>
      <c r="H45" s="5"/>
      <c r="J45" s="306"/>
    </row>
    <row r="46" spans="2:10" x14ac:dyDescent="0.65">
      <c r="C46" s="6"/>
      <c r="D46" s="7"/>
      <c r="E46" s="7"/>
      <c r="F46" s="3"/>
      <c r="G46" s="5"/>
      <c r="H46" s="5"/>
      <c r="J46" s="306"/>
    </row>
    <row r="47" spans="2:10" ht="27.9" thickBot="1" x14ac:dyDescent="1">
      <c r="C47" s="490" t="s">
        <v>208</v>
      </c>
      <c r="D47" s="8"/>
      <c r="E47" s="8"/>
      <c r="F47" s="3"/>
      <c r="G47" s="5"/>
      <c r="H47" s="5"/>
      <c r="J47" s="306"/>
    </row>
    <row r="48" spans="2:10" ht="25.2" customHeight="1" x14ac:dyDescent="0.85">
      <c r="B48" s="3" t="s">
        <v>41</v>
      </c>
      <c r="C48" s="492" t="s">
        <v>20</v>
      </c>
      <c r="D48" s="395">
        <v>3</v>
      </c>
      <c r="E48" s="374">
        <f>+D48*0.305</f>
        <v>0.91500000000000004</v>
      </c>
      <c r="F48" s="9"/>
      <c r="G48" s="10"/>
    </row>
    <row r="49" spans="3:15" ht="25.2" customHeight="1" x14ac:dyDescent="0.85">
      <c r="C49" s="493" t="str">
        <f>+IF(D48=0,"Side wall height (excluding foundation)","Upper side wall height")</f>
        <v>Upper side wall height</v>
      </c>
      <c r="D49" s="396">
        <v>2</v>
      </c>
      <c r="E49" s="375">
        <f t="shared" ref="E49:E51" si="0">+D49*0.305</f>
        <v>0.61</v>
      </c>
      <c r="O49" s="332"/>
    </row>
    <row r="50" spans="3:15" ht="25.2" customHeight="1" x14ac:dyDescent="0.85">
      <c r="C50" s="493" t="str">
        <f>+IF(D48=0,"","Lower side wall height")</f>
        <v>Lower side wall height</v>
      </c>
      <c r="D50" s="396">
        <v>2</v>
      </c>
      <c r="E50" s="375">
        <f t="shared" si="0"/>
        <v>0.61</v>
      </c>
      <c r="O50" s="332"/>
    </row>
    <row r="51" spans="3:15" ht="25.2" customHeight="1" thickBot="1" x14ac:dyDescent="0.9">
      <c r="C51" s="495" t="s">
        <v>21</v>
      </c>
      <c r="D51" s="397">
        <v>0</v>
      </c>
      <c r="E51" s="376">
        <f t="shared" si="0"/>
        <v>0</v>
      </c>
      <c r="O51" s="332"/>
    </row>
    <row r="52" spans="3:15" ht="25.2" customHeight="1" x14ac:dyDescent="0.75">
      <c r="C52" s="496"/>
      <c r="D52" s="355"/>
      <c r="E52" s="356"/>
      <c r="O52" s="332"/>
    </row>
    <row r="53" spans="3:15" x14ac:dyDescent="0.65">
      <c r="C53" s="6"/>
      <c r="D53" s="11"/>
      <c r="E53" s="11"/>
      <c r="O53" s="332"/>
    </row>
    <row r="54" spans="3:15" x14ac:dyDescent="0.65">
      <c r="C54" s="6"/>
      <c r="D54" s="4"/>
      <c r="E54" s="4"/>
      <c r="O54" s="332"/>
    </row>
    <row r="55" spans="3:15" x14ac:dyDescent="0.65">
      <c r="C55" s="6"/>
      <c r="D55" s="4"/>
      <c r="E55" s="4"/>
      <c r="O55" s="332"/>
    </row>
    <row r="56" spans="3:15" x14ac:dyDescent="0.65">
      <c r="C56" s="6"/>
      <c r="D56" s="4"/>
      <c r="E56" s="4"/>
      <c r="O56" s="332"/>
    </row>
    <row r="57" spans="3:15" x14ac:dyDescent="0.65">
      <c r="C57" s="6"/>
      <c r="D57" s="4"/>
      <c r="E57" s="4"/>
      <c r="O57" s="332"/>
    </row>
    <row r="58" spans="3:15" x14ac:dyDescent="0.65">
      <c r="C58" s="6"/>
      <c r="D58" s="4"/>
      <c r="E58" s="4"/>
      <c r="O58" s="332"/>
    </row>
    <row r="59" spans="3:15" x14ac:dyDescent="0.65">
      <c r="C59" s="6"/>
      <c r="D59" s="4"/>
      <c r="E59" s="4"/>
      <c r="O59" s="332"/>
    </row>
    <row r="60" spans="3:15" x14ac:dyDescent="0.65">
      <c r="C60" s="6"/>
      <c r="D60" s="4"/>
      <c r="E60" s="4"/>
      <c r="O60" s="332"/>
    </row>
    <row r="61" spans="3:15" x14ac:dyDescent="0.65">
      <c r="C61" s="6"/>
      <c r="D61" s="4"/>
      <c r="E61" s="4"/>
    </row>
    <row r="62" spans="3:15" x14ac:dyDescent="0.65">
      <c r="C62" s="6"/>
      <c r="D62" s="4"/>
      <c r="E62" s="4"/>
    </row>
    <row r="63" spans="3:15" x14ac:dyDescent="0.65">
      <c r="C63" s="6"/>
      <c r="D63" s="4"/>
      <c r="E63" s="4"/>
      <c r="O63" s="332"/>
    </row>
    <row r="64" spans="3:15" x14ac:dyDescent="0.65">
      <c r="C64" s="6"/>
      <c r="D64" s="4"/>
      <c r="E64" s="4"/>
      <c r="O64" s="332"/>
    </row>
    <row r="65" spans="3:16" x14ac:dyDescent="0.65">
      <c r="C65" s="6"/>
      <c r="D65" s="4"/>
      <c r="E65" s="4"/>
      <c r="O65" s="332"/>
    </row>
    <row r="66" spans="3:16" x14ac:dyDescent="0.65">
      <c r="C66" s="6"/>
      <c r="D66" s="4"/>
      <c r="E66" s="4"/>
      <c r="N66" s="333"/>
      <c r="O66" s="332"/>
    </row>
    <row r="67" spans="3:16" x14ac:dyDescent="0.65">
      <c r="C67" s="6"/>
      <c r="D67" s="4"/>
      <c r="E67" s="4"/>
      <c r="N67" s="333"/>
      <c r="O67" s="332"/>
    </row>
    <row r="68" spans="3:16" ht="27.9" thickBot="1" x14ac:dyDescent="1">
      <c r="C68" s="489" t="s">
        <v>209</v>
      </c>
      <c r="D68" s="7"/>
      <c r="E68" s="7"/>
      <c r="N68" s="333"/>
      <c r="O68" s="334"/>
      <c r="P68" s="331"/>
    </row>
    <row r="69" spans="3:16" ht="25.2" customHeight="1" x14ac:dyDescent="0.85">
      <c r="C69" s="492" t="s">
        <v>22</v>
      </c>
      <c r="D69" s="395">
        <v>150</v>
      </c>
      <c r="E69" s="403">
        <f>+D69</f>
        <v>150</v>
      </c>
      <c r="N69" s="333"/>
      <c r="O69" s="334"/>
      <c r="P69" s="331"/>
    </row>
    <row r="70" spans="3:16" ht="25.2" customHeight="1" thickBot="1" x14ac:dyDescent="0.9">
      <c r="C70" s="495" t="s">
        <v>23</v>
      </c>
      <c r="D70" s="397">
        <v>10</v>
      </c>
      <c r="E70" s="404">
        <f>+D70</f>
        <v>10</v>
      </c>
      <c r="N70" s="333"/>
      <c r="O70" s="334"/>
      <c r="P70" s="331"/>
    </row>
    <row r="71" spans="3:16" ht="20.100000000000001" x14ac:dyDescent="0.7">
      <c r="C71" s="6"/>
      <c r="D71" s="11"/>
      <c r="E71" s="11"/>
      <c r="N71" s="333"/>
      <c r="O71" s="334"/>
      <c r="P71" s="331"/>
    </row>
    <row r="72" spans="3:16" ht="25.2" customHeight="1" thickBot="1" x14ac:dyDescent="1">
      <c r="C72" s="489" t="s">
        <v>24</v>
      </c>
      <c r="D72" s="491" t="s">
        <v>177</v>
      </c>
      <c r="E72" s="307" t="s">
        <v>127</v>
      </c>
      <c r="N72" s="333"/>
      <c r="O72" s="334"/>
      <c r="P72" s="331"/>
    </row>
    <row r="73" spans="3:16" ht="25.2" customHeight="1" x14ac:dyDescent="0.85">
      <c r="C73" s="492" t="s">
        <v>190</v>
      </c>
      <c r="D73" s="395">
        <v>12</v>
      </c>
      <c r="E73" s="398">
        <f t="shared" ref="E73:E78" si="1">+D73*0.176</f>
        <v>2.1120000000000001</v>
      </c>
      <c r="N73" s="335"/>
      <c r="O73" s="336"/>
      <c r="P73" s="331"/>
    </row>
    <row r="74" spans="3:16" ht="25.2" customHeight="1" x14ac:dyDescent="0.85">
      <c r="C74" s="493" t="s">
        <v>191</v>
      </c>
      <c r="D74" s="396">
        <v>12</v>
      </c>
      <c r="E74" s="399">
        <f t="shared" si="1"/>
        <v>2.1120000000000001</v>
      </c>
      <c r="N74" s="335"/>
      <c r="O74" s="336"/>
      <c r="P74" s="331"/>
    </row>
    <row r="75" spans="3:16" ht="25.2" customHeight="1" x14ac:dyDescent="0.85">
      <c r="C75" s="493" t="str">
        <f>+IF(D48=0,"Side wall R-value","Upper side wall R-value")</f>
        <v>Upper side wall R-value</v>
      </c>
      <c r="D75" s="396">
        <v>12</v>
      </c>
      <c r="E75" s="399">
        <f t="shared" si="1"/>
        <v>2.1120000000000001</v>
      </c>
      <c r="N75" s="335"/>
      <c r="O75" s="336"/>
      <c r="P75" s="331"/>
    </row>
    <row r="76" spans="3:16" ht="25.2" customHeight="1" x14ac:dyDescent="0.85">
      <c r="C76" s="493" t="str">
        <f>+IF(D48=0,"","Lower side wall R-value")</f>
        <v>Lower side wall R-value</v>
      </c>
      <c r="D76" s="396">
        <v>12</v>
      </c>
      <c r="E76" s="399">
        <f t="shared" si="1"/>
        <v>2.1120000000000001</v>
      </c>
      <c r="N76" s="333"/>
      <c r="O76" s="336"/>
      <c r="P76" s="331"/>
    </row>
    <row r="77" spans="3:16" ht="25.2" customHeight="1" x14ac:dyDescent="0.85">
      <c r="C77" s="497" t="str">
        <f>+IF(D51=0,"","Foundation R-value")</f>
        <v/>
      </c>
      <c r="D77" s="396">
        <v>0</v>
      </c>
      <c r="E77" s="399">
        <f t="shared" si="1"/>
        <v>0</v>
      </c>
      <c r="N77" s="333"/>
      <c r="O77" s="336"/>
      <c r="P77" s="331"/>
    </row>
    <row r="78" spans="3:16" ht="25.5" thickBot="1" x14ac:dyDescent="0.9">
      <c r="C78" s="495" t="str">
        <f>+IF(D48=0,"","Curtain R-value")</f>
        <v>Curtain R-value</v>
      </c>
      <c r="D78" s="397">
        <v>1.5</v>
      </c>
      <c r="E78" s="400">
        <f t="shared" si="1"/>
        <v>0.26400000000000001</v>
      </c>
      <c r="N78" s="333"/>
      <c r="O78" s="336"/>
      <c r="P78" s="331"/>
    </row>
    <row r="79" spans="3:16" ht="24.6" customHeight="1" x14ac:dyDescent="0.8">
      <c r="D79" s="373"/>
      <c r="E79" s="353"/>
      <c r="N79" s="333"/>
      <c r="O79" s="336"/>
      <c r="P79" s="331"/>
    </row>
    <row r="80" spans="3:16" ht="27.9" thickBot="1" x14ac:dyDescent="1">
      <c r="C80" s="489" t="s">
        <v>210</v>
      </c>
      <c r="D80" s="373"/>
      <c r="E80" s="353"/>
      <c r="N80" s="333"/>
      <c r="O80" s="336"/>
      <c r="P80" s="331"/>
    </row>
    <row r="81" spans="2:16" ht="25.5" thickBot="1" x14ac:dyDescent="0.9">
      <c r="C81" s="498" t="s">
        <v>189</v>
      </c>
      <c r="D81" s="402">
        <v>25000</v>
      </c>
      <c r="E81" s="401">
        <f>+D81*1.7</f>
        <v>42500</v>
      </c>
      <c r="I81" s="350" t="str">
        <f>+IF(Q9=0,"",P9)</f>
        <v>Ceiling</v>
      </c>
      <c r="J81" s="343">
        <f>+Q9</f>
        <v>125623.44526401114</v>
      </c>
      <c r="K81" s="352">
        <f>+J81/$D$84</f>
        <v>8.4467399364271362E-2</v>
      </c>
      <c r="N81" s="333"/>
      <c r="O81" s="336"/>
      <c r="P81" s="331"/>
    </row>
    <row r="82" spans="2:16" ht="25.2" x14ac:dyDescent="0.85">
      <c r="I82" s="350" t="str">
        <f>+IF(Q15=0,"",P15)</f>
        <v>Lights</v>
      </c>
      <c r="J82" s="343">
        <f>+Q15</f>
        <v>4335</v>
      </c>
      <c r="K82" s="352">
        <f>+J82/$D$84</f>
        <v>2.9147917052790495E-3</v>
      </c>
      <c r="N82" s="333"/>
      <c r="O82" s="336"/>
      <c r="P82" s="331"/>
    </row>
    <row r="83" spans="2:16" ht="27.9" thickBot="1" x14ac:dyDescent="1">
      <c r="B83" s="508" t="s">
        <v>175</v>
      </c>
      <c r="D83" s="308" t="s">
        <v>41</v>
      </c>
      <c r="E83" s="307" t="s">
        <v>127</v>
      </c>
      <c r="I83" s="350"/>
      <c r="J83" s="343"/>
      <c r="K83" s="352" t="s">
        <v>41</v>
      </c>
      <c r="N83" s="333"/>
      <c r="O83" s="336"/>
      <c r="P83" s="331"/>
    </row>
    <row r="84" spans="2:16" ht="25.2" x14ac:dyDescent="0.85">
      <c r="B84" s="492" t="s">
        <v>19</v>
      </c>
      <c r="C84" s="347"/>
      <c r="D84" s="384">
        <f>+Q17</f>
        <v>1487241.7785973444</v>
      </c>
      <c r="E84" s="382">
        <f>+D84*0.291</f>
        <v>432787.35757182719</v>
      </c>
      <c r="I84" s="350" t="str">
        <f>+IF(Q10=0,"",P10)</f>
        <v>End walls</v>
      </c>
      <c r="J84" s="343">
        <f>+Q10</f>
        <v>950</v>
      </c>
      <c r="K84" s="352">
        <f>+J84/$D$84</f>
        <v>6.3876634833104893E-4</v>
      </c>
      <c r="N84" s="333"/>
    </row>
    <row r="85" spans="2:16" ht="24.9" x14ac:dyDescent="0.8">
      <c r="B85" s="493" t="s">
        <v>174</v>
      </c>
      <c r="C85" s="345"/>
      <c r="D85" s="385">
        <f>+Q17/(5*1.07)</f>
        <v>277989.11749483069</v>
      </c>
      <c r="E85" s="383">
        <f>+D85*1.7</f>
        <v>472581.49974121217</v>
      </c>
      <c r="F85" s="222"/>
      <c r="G85" s="221"/>
      <c r="H85" s="221"/>
      <c r="I85" s="351"/>
      <c r="J85" s="353"/>
      <c r="K85" s="353"/>
      <c r="L85" s="333"/>
      <c r="M85" s="333"/>
      <c r="N85" s="333"/>
    </row>
    <row r="86" spans="2:16" ht="25.2" x14ac:dyDescent="0.85">
      <c r="B86" s="493" t="s">
        <v>176</v>
      </c>
      <c r="C86" s="345"/>
      <c r="D86" s="416">
        <f>(D85/D81)</f>
        <v>11.119564699793228</v>
      </c>
      <c r="E86" s="481">
        <f>+D86</f>
        <v>11.119564699793228</v>
      </c>
      <c r="F86" s="222"/>
      <c r="G86" s="221"/>
      <c r="H86" s="221"/>
      <c r="I86" s="350" t="str">
        <f>+IF(D48=0,"Side walls","")</f>
        <v/>
      </c>
      <c r="J86" s="343" t="str">
        <f>+IF(D48=0,Q11,"")</f>
        <v/>
      </c>
      <c r="K86" s="352" t="str">
        <f>+IF(D48=0,J86/$D$84,"")</f>
        <v/>
      </c>
      <c r="L86" s="333"/>
      <c r="M86" s="333"/>
      <c r="N86" s="333"/>
    </row>
    <row r="87" spans="2:16" ht="25.8" customHeight="1" x14ac:dyDescent="0.85">
      <c r="B87" s="493" t="s">
        <v>172</v>
      </c>
      <c r="C87" s="345"/>
      <c r="D87" s="511">
        <f>+D85/(Q2*0.5)</f>
        <v>487.7002061312819</v>
      </c>
      <c r="E87" s="510">
        <f>+D87/200</f>
        <v>2.4385010306564094</v>
      </c>
      <c r="F87" s="222"/>
      <c r="G87" s="221"/>
      <c r="H87" s="221"/>
      <c r="I87" s="350" t="str">
        <f>+IF(D48=0,"","Upper side walls")</f>
        <v>Upper side walls</v>
      </c>
      <c r="J87" s="343">
        <f>+IF(D48=0,"",Q11)</f>
        <v>1666.6666666666667</v>
      </c>
      <c r="K87" s="352">
        <f>+IF(D48=0,"",J87/$D$84)</f>
        <v>1.1206427163702613E-3</v>
      </c>
      <c r="L87" s="333"/>
      <c r="M87" s="333"/>
    </row>
    <row r="88" spans="2:16" ht="25.2" customHeight="1" x14ac:dyDescent="0.85">
      <c r="B88" s="493" t="s">
        <v>193</v>
      </c>
      <c r="C88" s="345"/>
      <c r="D88" s="386">
        <v>5</v>
      </c>
      <c r="E88" s="359">
        <f>+D88*0.555555555555556</f>
        <v>2.7777777777777803</v>
      </c>
      <c r="F88" s="222"/>
      <c r="G88" s="223"/>
      <c r="H88" s="221"/>
      <c r="I88" s="350" t="str">
        <f>+IF(Q13=0,"",P13)</f>
        <v>Curtains</v>
      </c>
      <c r="J88" s="343">
        <f>+IF(Q13=0,"",Q13)</f>
        <v>20000</v>
      </c>
      <c r="K88" s="352">
        <f>+IF(Q13=0,"",J88/$D$84)</f>
        <v>1.3447712596443135E-2</v>
      </c>
      <c r="L88" s="333"/>
      <c r="M88" s="333"/>
    </row>
    <row r="89" spans="2:16" ht="25.2" customHeight="1" x14ac:dyDescent="0.85">
      <c r="B89" s="493" t="s">
        <v>25</v>
      </c>
      <c r="C89" s="345"/>
      <c r="D89" s="363">
        <f>+D85/(D16*D17)</f>
        <v>9.2663039164943566</v>
      </c>
      <c r="E89" s="482">
        <f>+D89*1.7/0.305/0.305</f>
        <v>169.33852897651605</v>
      </c>
      <c r="F89" s="225"/>
      <c r="G89" s="226"/>
      <c r="H89" s="224"/>
      <c r="I89" s="350" t="str">
        <f>+IF(Q12=0,"",P12)</f>
        <v>Lower side walls</v>
      </c>
      <c r="J89" s="343">
        <f>+IF(Q12=0,"",Q12)</f>
        <v>1666.6666666666667</v>
      </c>
      <c r="K89" s="352">
        <f>+IF(Q12=0,"",J89/$D$84)</f>
        <v>1.1206427163702613E-3</v>
      </c>
      <c r="L89" s="337"/>
      <c r="M89" s="337"/>
    </row>
    <row r="90" spans="2:16" ht="24.9" customHeight="1" thickBot="1" x14ac:dyDescent="0.9">
      <c r="B90" s="499" t="s">
        <v>26</v>
      </c>
      <c r="C90" s="485"/>
      <c r="D90" s="484">
        <f>+D85/D34</f>
        <v>6.4648631975542017</v>
      </c>
      <c r="E90" s="415">
        <f>+D90*1.7</f>
        <v>10.990267435842142</v>
      </c>
      <c r="I90" s="350" t="str">
        <f>+IF(Q14=0,"",P14)</f>
        <v/>
      </c>
      <c r="J90" s="343" t="str">
        <f>+IF(Q14=0,"",Q14)</f>
        <v/>
      </c>
      <c r="K90" s="352" t="str">
        <f>+IF(Q14=0,"",J90/$D$84)</f>
        <v/>
      </c>
    </row>
    <row r="91" spans="2:16" ht="24.9" customHeight="1" thickBot="1" x14ac:dyDescent="0.9">
      <c r="B91" s="500" t="s">
        <v>203</v>
      </c>
      <c r="C91" s="486"/>
      <c r="D91" s="488">
        <f>+D84/(D16*D17)</f>
        <v>49.574725953244815</v>
      </c>
      <c r="E91" s="487">
        <f>+D91*0.291/(0.305*0.305)</f>
        <v>155.07922872769944</v>
      </c>
      <c r="I91" s="350" t="str">
        <f>+IF(Q16=0,"",P16)</f>
        <v>Birds</v>
      </c>
      <c r="J91" s="354">
        <f>+Q16</f>
        <v>1333000</v>
      </c>
      <c r="K91" s="352">
        <f>+J91/$D$84</f>
        <v>0.89629004455293493</v>
      </c>
    </row>
    <row r="92" spans="2:16" ht="24.9" customHeight="1" x14ac:dyDescent="0.85">
      <c r="E92" s="3"/>
      <c r="I92" s="350" t="s">
        <v>14</v>
      </c>
      <c r="J92" s="343">
        <f>+D84</f>
        <v>1487241.7785973444</v>
      </c>
      <c r="K92" s="353"/>
    </row>
    <row r="93" spans="2:16" ht="24.9" customHeight="1" thickBot="1" x14ac:dyDescent="1">
      <c r="B93" s="508" t="s">
        <v>198</v>
      </c>
    </row>
    <row r="94" spans="2:16" ht="24.9" customHeight="1" x14ac:dyDescent="0.85">
      <c r="B94" s="501" t="s">
        <v>199</v>
      </c>
      <c r="C94" s="349"/>
      <c r="D94" s="361">
        <v>360000</v>
      </c>
      <c r="E94" s="358">
        <f>+D94*1.7</f>
        <v>612000</v>
      </c>
    </row>
    <row r="95" spans="2:16" ht="24.9" customHeight="1" x14ac:dyDescent="0.85">
      <c r="B95" s="493" t="s">
        <v>192</v>
      </c>
      <c r="C95" s="345"/>
      <c r="D95" s="416">
        <f>+(D94/D81)</f>
        <v>14.4</v>
      </c>
      <c r="E95" s="481">
        <f>+D95</f>
        <v>14.4</v>
      </c>
    </row>
    <row r="96" spans="2:16" ht="24.9" customHeight="1" x14ac:dyDescent="0.85">
      <c r="B96" s="502" t="s">
        <v>193</v>
      </c>
      <c r="C96" s="346"/>
      <c r="D96" s="362">
        <f>+D85/D94*5</f>
        <v>3.8609599652059816</v>
      </c>
      <c r="E96" s="359">
        <f>+D96*0.555555555555556</f>
        <v>2.1449777584477694</v>
      </c>
    </row>
    <row r="97" spans="2:14" ht="24.9" customHeight="1" x14ac:dyDescent="0.85">
      <c r="B97" s="497" t="s">
        <v>173</v>
      </c>
      <c r="C97" s="344"/>
      <c r="D97" s="512">
        <f>+D94/(Q2*0.5)</f>
        <v>631.57894736842104</v>
      </c>
      <c r="E97" s="509">
        <f>+D97/200</f>
        <v>3.1578947368421053</v>
      </c>
    </row>
    <row r="98" spans="2:14" ht="24.9" customHeight="1" x14ac:dyDescent="0.85">
      <c r="B98" s="493" t="s">
        <v>25</v>
      </c>
      <c r="C98" s="345"/>
      <c r="D98" s="363">
        <f>+D94/(D16*D17)</f>
        <v>12</v>
      </c>
      <c r="E98" s="482">
        <f>+D98*1.7/0.305/0.305</f>
        <v>219.29588820209619</v>
      </c>
      <c r="F98" s="225"/>
      <c r="G98" s="226"/>
      <c r="H98" s="225"/>
      <c r="I98" s="226"/>
      <c r="J98" s="226"/>
      <c r="K98" s="225"/>
      <c r="L98" s="338"/>
      <c r="M98" s="337"/>
    </row>
    <row r="99" spans="2:14" ht="24.9" customHeight="1" thickBot="1" x14ac:dyDescent="0.9">
      <c r="B99" s="495" t="s">
        <v>26</v>
      </c>
      <c r="C99" s="348"/>
      <c r="D99" s="364">
        <f>+D94/D34</f>
        <v>8.3720930232558146</v>
      </c>
      <c r="E99" s="360">
        <f>+D99*1.7</f>
        <v>14.232558139534884</v>
      </c>
      <c r="F99" s="225"/>
      <c r="G99" s="226"/>
      <c r="H99" s="224"/>
      <c r="I99" s="226"/>
      <c r="J99" s="226"/>
      <c r="K99" s="224"/>
      <c r="L99" s="337"/>
      <c r="M99" s="337"/>
    </row>
    <row r="100" spans="2:14" ht="24.9" customHeight="1" x14ac:dyDescent="0.75">
      <c r="D100" s="303"/>
      <c r="E100" s="3"/>
      <c r="F100" s="225"/>
      <c r="G100" s="13"/>
      <c r="H100" s="13"/>
      <c r="L100" s="339"/>
      <c r="M100" s="339"/>
    </row>
    <row r="101" spans="2:14" ht="24.9" customHeight="1" thickBot="1" x14ac:dyDescent="1">
      <c r="B101" s="507" t="s">
        <v>213</v>
      </c>
      <c r="C101" s="15"/>
      <c r="D101" s="308" t="s">
        <v>41</v>
      </c>
      <c r="E101" s="307" t="s">
        <v>127</v>
      </c>
      <c r="F101" s="225"/>
      <c r="G101" s="224"/>
      <c r="H101" s="224"/>
      <c r="L101" s="339"/>
      <c r="M101" s="339"/>
    </row>
    <row r="102" spans="2:14" ht="24.9" customHeight="1" x14ac:dyDescent="0.85">
      <c r="B102" s="501" t="s">
        <v>197</v>
      </c>
      <c r="C102" s="368"/>
      <c r="D102" s="369">
        <f>+D94/350</f>
        <v>1028.5714285714287</v>
      </c>
      <c r="E102" s="365">
        <f>+D102*0.305*0.305</f>
        <v>95.682857142857145</v>
      </c>
      <c r="F102" s="225"/>
      <c r="L102" s="339"/>
      <c r="M102" s="339"/>
    </row>
    <row r="103" spans="2:14" ht="24.9" customHeight="1" x14ac:dyDescent="0.85">
      <c r="B103" s="502" t="s">
        <v>184</v>
      </c>
      <c r="C103" s="357"/>
      <c r="D103" s="370">
        <f>+D102/5</f>
        <v>205.71428571428572</v>
      </c>
      <c r="E103" s="366">
        <f>+D103*0.305</f>
        <v>62.742857142857147</v>
      </c>
      <c r="F103" s="225"/>
      <c r="G103" s="13"/>
      <c r="H103" s="13"/>
    </row>
    <row r="104" spans="2:14" ht="24.9" customHeight="1" thickBot="1" x14ac:dyDescent="0.9">
      <c r="B104" s="505" t="s">
        <v>185</v>
      </c>
      <c r="C104" s="371"/>
      <c r="D104" s="372">
        <f>+D102/6</f>
        <v>171.42857142857144</v>
      </c>
      <c r="E104" s="367">
        <f>+D104*0.305</f>
        <v>52.285714285714292</v>
      </c>
      <c r="F104" s="225"/>
      <c r="G104" s="13"/>
      <c r="H104" s="13"/>
      <c r="L104" s="339"/>
      <c r="M104" s="339"/>
    </row>
    <row r="105" spans="2:14" ht="24.9" customHeight="1" x14ac:dyDescent="0.8">
      <c r="B105" s="304"/>
      <c r="C105" s="305"/>
      <c r="D105" s="305"/>
      <c r="E105" s="3"/>
      <c r="F105" s="225"/>
      <c r="G105" s="13"/>
      <c r="H105" s="13"/>
      <c r="L105" s="339"/>
      <c r="M105" s="339"/>
    </row>
    <row r="106" spans="2:14" ht="27.9" thickBot="1" x14ac:dyDescent="1">
      <c r="B106" s="506" t="s">
        <v>214</v>
      </c>
      <c r="C106" s="306"/>
      <c r="D106" s="308" t="s">
        <v>41</v>
      </c>
      <c r="E106" s="307" t="s">
        <v>127</v>
      </c>
      <c r="H106" s="224"/>
    </row>
    <row r="107" spans="2:14" ht="25.2" x14ac:dyDescent="0.85">
      <c r="B107" s="503" t="s">
        <v>212</v>
      </c>
      <c r="C107" s="347"/>
      <c r="D107" s="391">
        <v>50</v>
      </c>
      <c r="E107" s="387">
        <f>+D107</f>
        <v>50</v>
      </c>
      <c r="F107" s="225"/>
      <c r="G107" s="13"/>
      <c r="H107" s="13"/>
      <c r="L107" s="339"/>
      <c r="M107" s="339"/>
      <c r="N107" s="16"/>
    </row>
    <row r="108" spans="2:14" ht="25.2" x14ac:dyDescent="0.85">
      <c r="B108" s="497" t="s">
        <v>215</v>
      </c>
      <c r="C108" s="344"/>
      <c r="D108" s="392">
        <v>10</v>
      </c>
      <c r="E108" s="388">
        <f>+D108*2.54</f>
        <v>25.4</v>
      </c>
      <c r="F108" s="225"/>
      <c r="G108" s="13"/>
      <c r="H108" s="13"/>
      <c r="L108" s="339"/>
      <c r="M108" s="339"/>
      <c r="N108" s="16"/>
    </row>
    <row r="109" spans="2:14" ht="25.2" x14ac:dyDescent="0.85">
      <c r="B109" s="497" t="s">
        <v>216</v>
      </c>
      <c r="C109" s="344"/>
      <c r="D109" s="392">
        <v>42</v>
      </c>
      <c r="E109" s="388">
        <f>+D109*2.54</f>
        <v>106.68</v>
      </c>
      <c r="F109" s="225"/>
      <c r="G109" s="13"/>
      <c r="H109" s="13"/>
      <c r="N109" s="16"/>
    </row>
    <row r="110" spans="2:14" ht="25.2" x14ac:dyDescent="0.85">
      <c r="B110" s="497" t="s">
        <v>183</v>
      </c>
      <c r="C110" s="344"/>
      <c r="D110" s="393">
        <f>+D85/750*D107/100</f>
        <v>185.32607832988714</v>
      </c>
      <c r="E110" s="389">
        <f>+D110*0.305*0.305</f>
        <v>17.23995843663775</v>
      </c>
      <c r="F110" s="225"/>
      <c r="G110" s="13"/>
      <c r="H110" s="13"/>
      <c r="L110" s="339"/>
      <c r="M110" s="339"/>
    </row>
    <row r="111" spans="2:14" ht="25.5" thickBot="1" x14ac:dyDescent="0.9">
      <c r="B111" s="504" t="s">
        <v>180</v>
      </c>
      <c r="C111" s="394"/>
      <c r="D111" s="309">
        <f>+D110/((D108*D109)/144)</f>
        <v>63.540369713104162</v>
      </c>
      <c r="E111" s="390">
        <f>+D111</f>
        <v>63.540369713104162</v>
      </c>
      <c r="F111" s="225"/>
      <c r="G111" s="13"/>
      <c r="H111" s="13"/>
    </row>
    <row r="112" spans="2:14" x14ac:dyDescent="0.65">
      <c r="N112" s="16"/>
    </row>
    <row r="113" spans="2:14" x14ac:dyDescent="0.65">
      <c r="N113" s="340"/>
    </row>
    <row r="114" spans="2:14" x14ac:dyDescent="0.65">
      <c r="F114" s="16"/>
      <c r="G114" s="5"/>
      <c r="H114" s="5"/>
      <c r="J114" s="306"/>
      <c r="K114" s="3"/>
      <c r="L114" s="16"/>
      <c r="M114" s="16"/>
      <c r="N114" s="340"/>
    </row>
    <row r="115" spans="2:14" x14ac:dyDescent="0.65">
      <c r="F115" s="16"/>
      <c r="G115" s="5"/>
      <c r="H115" s="5"/>
      <c r="J115" s="306"/>
      <c r="K115" s="3"/>
      <c r="L115" s="16"/>
      <c r="M115" s="16"/>
      <c r="N115" s="340"/>
    </row>
    <row r="116" spans="2:14" x14ac:dyDescent="0.65">
      <c r="F116" s="16"/>
      <c r="G116" s="5"/>
      <c r="H116" s="5"/>
      <c r="J116" s="306"/>
      <c r="N116" s="340"/>
    </row>
    <row r="117" spans="2:14" x14ac:dyDescent="0.65">
      <c r="F117" s="16"/>
      <c r="G117" s="5"/>
      <c r="H117" s="5"/>
      <c r="J117" s="306"/>
      <c r="N117" s="340"/>
    </row>
    <row r="118" spans="2:14" x14ac:dyDescent="0.65">
      <c r="F118" s="16"/>
      <c r="G118" s="12"/>
      <c r="H118" s="12"/>
      <c r="I118" s="314"/>
      <c r="J118" s="315"/>
      <c r="K118" s="3"/>
      <c r="L118" s="16"/>
      <c r="M118" s="16"/>
      <c r="N118" s="340"/>
    </row>
    <row r="119" spans="2:14" x14ac:dyDescent="0.65">
      <c r="B119" s="14"/>
      <c r="C119" s="15"/>
      <c r="D119" s="15"/>
      <c r="E119" s="15"/>
      <c r="F119" s="16"/>
      <c r="G119" s="17"/>
      <c r="H119" s="17"/>
      <c r="I119" s="316"/>
      <c r="J119" s="317"/>
      <c r="K119" s="17"/>
      <c r="L119" s="340"/>
      <c r="M119" s="340"/>
      <c r="N119" s="340"/>
    </row>
    <row r="120" spans="2:14" x14ac:dyDescent="0.65">
      <c r="B120" s="14"/>
      <c r="C120" s="15"/>
      <c r="D120" s="15"/>
      <c r="E120" s="15"/>
      <c r="F120" s="16"/>
      <c r="G120" s="17"/>
      <c r="H120" s="17"/>
      <c r="I120" s="316"/>
      <c r="J120" s="317"/>
      <c r="K120" s="17"/>
      <c r="L120" s="340"/>
      <c r="M120" s="340"/>
      <c r="N120" s="341"/>
    </row>
    <row r="121" spans="2:14" x14ac:dyDescent="0.65">
      <c r="B121" s="14"/>
      <c r="C121" s="15"/>
      <c r="D121" s="15"/>
      <c r="E121" s="15"/>
      <c r="F121" s="16"/>
      <c r="G121" s="17"/>
      <c r="H121" s="17"/>
      <c r="I121" s="316"/>
      <c r="J121" s="317"/>
      <c r="K121" s="17"/>
      <c r="L121" s="340"/>
      <c r="M121" s="340"/>
      <c r="N121" s="342"/>
    </row>
    <row r="122" spans="2:14" x14ac:dyDescent="0.65">
      <c r="B122" s="14"/>
      <c r="C122" s="15"/>
      <c r="D122" s="15"/>
      <c r="E122" s="15"/>
      <c r="F122" s="16"/>
    </row>
    <row r="123" spans="2:14" x14ac:dyDescent="0.65">
      <c r="B123" s="14"/>
      <c r="C123" s="15"/>
      <c r="D123" s="15"/>
      <c r="E123" s="15"/>
      <c r="F123" s="16"/>
    </row>
    <row r="124" spans="2:14" hidden="1" x14ac:dyDescent="0.65">
      <c r="B124" s="14"/>
      <c r="C124" s="15"/>
      <c r="D124" s="15"/>
      <c r="E124" s="15"/>
      <c r="F124" s="16"/>
    </row>
    <row r="125" spans="2:14" x14ac:dyDescent="0.65">
      <c r="B125" s="14"/>
      <c r="C125" s="15"/>
      <c r="D125" s="15"/>
      <c r="E125" s="15"/>
      <c r="F125" s="16"/>
    </row>
    <row r="126" spans="2:14" x14ac:dyDescent="0.65">
      <c r="B126" s="14"/>
      <c r="C126" s="15"/>
      <c r="D126" s="15"/>
      <c r="E126" s="15"/>
      <c r="F126" s="16"/>
    </row>
    <row r="127" spans="2:14" x14ac:dyDescent="0.65">
      <c r="B127" s="14"/>
      <c r="C127" s="15"/>
      <c r="D127" s="15"/>
      <c r="E127" s="15"/>
      <c r="F127" s="16"/>
    </row>
    <row r="128" spans="2:14" x14ac:dyDescent="0.65">
      <c r="B128" s="14"/>
      <c r="C128" s="15"/>
      <c r="D128" s="15"/>
      <c r="E128" s="15"/>
      <c r="F128" s="16"/>
    </row>
    <row r="129" spans="2:6" x14ac:dyDescent="0.65">
      <c r="B129" s="14"/>
      <c r="C129" s="15"/>
      <c r="D129" s="15"/>
      <c r="E129" s="15"/>
      <c r="F129" s="16"/>
    </row>
    <row r="130" spans="2:6" x14ac:dyDescent="0.65">
      <c r="B130" s="14"/>
      <c r="C130" s="15"/>
      <c r="D130" s="15"/>
      <c r="E130" s="15"/>
      <c r="F130" s="16"/>
    </row>
    <row r="131" spans="2:6" x14ac:dyDescent="0.65">
      <c r="C131" s="18"/>
      <c r="D131" s="19"/>
      <c r="E131" s="19"/>
      <c r="F131" s="20"/>
    </row>
    <row r="132" spans="2:6" x14ac:dyDescent="0.65">
      <c r="C132" s="18"/>
      <c r="D132" s="19"/>
      <c r="E132" s="19"/>
      <c r="F132" s="20"/>
    </row>
    <row r="133" spans="2:6" x14ac:dyDescent="0.65">
      <c r="C133" s="18"/>
      <c r="D133" s="19"/>
      <c r="E133" s="19"/>
      <c r="F133" s="20"/>
    </row>
    <row r="134" spans="2:6" x14ac:dyDescent="0.65">
      <c r="C134" s="18"/>
      <c r="D134" s="19"/>
      <c r="E134" s="19"/>
      <c r="F134" s="20"/>
    </row>
    <row r="135" spans="2:6" x14ac:dyDescent="0.65">
      <c r="C135" s="18"/>
      <c r="D135" s="19"/>
      <c r="E135" s="19"/>
      <c r="F135" s="20"/>
    </row>
    <row r="136" spans="2:6" x14ac:dyDescent="0.65">
      <c r="C136" s="18"/>
      <c r="D136" s="19"/>
      <c r="E136" s="19"/>
      <c r="F136" s="20"/>
    </row>
    <row r="137" spans="2:6" x14ac:dyDescent="0.65">
      <c r="C137" s="18"/>
      <c r="D137" s="19"/>
      <c r="E137" s="19"/>
      <c r="F137" s="20"/>
    </row>
    <row r="138" spans="2:6" x14ac:dyDescent="0.65">
      <c r="C138" s="18"/>
      <c r="D138" s="19"/>
      <c r="E138" s="19"/>
      <c r="F138" s="20"/>
    </row>
    <row r="139" spans="2:6" x14ac:dyDescent="0.65">
      <c r="C139" s="18"/>
      <c r="D139" s="19"/>
      <c r="E139" s="19"/>
      <c r="F139" s="20"/>
    </row>
    <row r="140" spans="2:6" x14ac:dyDescent="0.65">
      <c r="C140" s="18"/>
      <c r="D140" s="19"/>
      <c r="E140" s="19"/>
      <c r="F140" s="20"/>
    </row>
    <row r="141" spans="2:6" x14ac:dyDescent="0.65">
      <c r="C141" s="18"/>
      <c r="D141" s="19"/>
      <c r="E141" s="19"/>
      <c r="F141" s="20"/>
    </row>
    <row r="142" spans="2:6" x14ac:dyDescent="0.65">
      <c r="C142" s="18"/>
      <c r="D142" s="19"/>
      <c r="E142" s="19"/>
      <c r="F142" s="20"/>
    </row>
    <row r="143" spans="2:6" x14ac:dyDescent="0.65">
      <c r="C143" s="18"/>
      <c r="D143" s="19"/>
      <c r="E143" s="19"/>
      <c r="F143" s="20"/>
    </row>
    <row r="144" spans="2:6" x14ac:dyDescent="0.65">
      <c r="C144" s="18"/>
      <c r="D144" s="19"/>
      <c r="E144" s="19"/>
      <c r="F144" s="20"/>
    </row>
    <row r="145" spans="3:6" x14ac:dyDescent="0.65">
      <c r="C145" s="18"/>
      <c r="D145" s="19"/>
      <c r="E145" s="19"/>
      <c r="F145" s="20"/>
    </row>
    <row r="146" spans="3:6" x14ac:dyDescent="0.65">
      <c r="C146" s="18"/>
      <c r="D146" s="19"/>
      <c r="E146" s="19"/>
      <c r="F146" s="20"/>
    </row>
    <row r="147" spans="3:6" x14ac:dyDescent="0.65">
      <c r="C147" s="18"/>
      <c r="D147" s="19"/>
      <c r="E147" s="19"/>
      <c r="F147" s="20"/>
    </row>
    <row r="148" spans="3:6" x14ac:dyDescent="0.65">
      <c r="C148" s="18"/>
      <c r="D148" s="19"/>
      <c r="E148" s="19"/>
      <c r="F148" s="20"/>
    </row>
    <row r="149" spans="3:6" x14ac:dyDescent="0.65">
      <c r="C149" s="18"/>
      <c r="D149" s="19"/>
      <c r="E149" s="19"/>
      <c r="F149" s="20"/>
    </row>
    <row r="150" spans="3:6" x14ac:dyDescent="0.65">
      <c r="C150" s="18"/>
      <c r="D150" s="19"/>
      <c r="E150" s="19"/>
      <c r="F150" s="20"/>
    </row>
    <row r="151" spans="3:6" x14ac:dyDescent="0.65">
      <c r="C151" s="18"/>
      <c r="D151" s="19"/>
      <c r="E151" s="19"/>
      <c r="F151" s="20"/>
    </row>
    <row r="152" spans="3:6" x14ac:dyDescent="0.65">
      <c r="C152" s="18"/>
      <c r="D152" s="19"/>
      <c r="E152" s="19"/>
      <c r="F152" s="20"/>
    </row>
    <row r="153" spans="3:6" x14ac:dyDescent="0.65">
      <c r="C153" s="18"/>
      <c r="D153" s="19"/>
      <c r="E153" s="19"/>
      <c r="F153" s="20"/>
    </row>
    <row r="154" spans="3:6" x14ac:dyDescent="0.65">
      <c r="C154" s="18"/>
      <c r="D154" s="19"/>
      <c r="E154" s="19"/>
      <c r="F154" s="20"/>
    </row>
  </sheetData>
  <conditionalFormatting sqref="G114:J114">
    <cfRule type="cellIs" dxfId="27" priority="27" operator="notEqual">
      <formula>0</formula>
    </cfRule>
  </conditionalFormatting>
  <conditionalFormatting sqref="E11:E13 E94:E99 E84:E90">
    <cfRule type="expression" dxfId="26" priority="19">
      <formula>($D$8=0)=TRUE</formula>
    </cfRule>
  </conditionalFormatting>
  <conditionalFormatting sqref="E16:E20">
    <cfRule type="expression" dxfId="25" priority="18">
      <formula>($D$8=0)=TRUE</formula>
    </cfRule>
  </conditionalFormatting>
  <conditionalFormatting sqref="E34:E37">
    <cfRule type="expression" dxfId="24" priority="17">
      <formula>($D$8=0)=TRUE</formula>
    </cfRule>
  </conditionalFormatting>
  <conditionalFormatting sqref="E48:E52">
    <cfRule type="expression" dxfId="23" priority="15">
      <formula>($D$8=0)=TRUE</formula>
    </cfRule>
  </conditionalFormatting>
  <conditionalFormatting sqref="E73:E78">
    <cfRule type="expression" dxfId="22" priority="14">
      <formula>($D$8=0)=TRUE</formula>
    </cfRule>
  </conditionalFormatting>
  <conditionalFormatting sqref="E102:E104">
    <cfRule type="expression" dxfId="21" priority="12">
      <formula>($D$8=0)=TRUE</formula>
    </cfRule>
  </conditionalFormatting>
  <conditionalFormatting sqref="E107:E111">
    <cfRule type="expression" dxfId="20" priority="11">
      <formula>($D$8=0)=TRUE</formula>
    </cfRule>
  </conditionalFormatting>
  <conditionalFormatting sqref="E81">
    <cfRule type="expression" dxfId="19" priority="10">
      <formula>($D$8=0)=TRUE</formula>
    </cfRule>
  </conditionalFormatting>
  <conditionalFormatting sqref="E10">
    <cfRule type="expression" dxfId="18" priority="9">
      <formula>($D$8=0)=TRUE</formula>
    </cfRule>
  </conditionalFormatting>
  <conditionalFormatting sqref="E33">
    <cfRule type="expression" dxfId="17" priority="8">
      <formula>($D$8=0)=TRUE</formula>
    </cfRule>
  </conditionalFormatting>
  <conditionalFormatting sqref="E72">
    <cfRule type="expression" dxfId="16" priority="6">
      <formula>($D$8=0)=TRUE</formula>
    </cfRule>
  </conditionalFormatting>
  <conditionalFormatting sqref="E83">
    <cfRule type="expression" dxfId="15" priority="5">
      <formula>($D$8=0)=TRUE</formula>
    </cfRule>
  </conditionalFormatting>
  <conditionalFormatting sqref="E101">
    <cfRule type="expression" dxfId="14" priority="4">
      <formula>($D$8=0)=TRUE</formula>
    </cfRule>
  </conditionalFormatting>
  <conditionalFormatting sqref="E106">
    <cfRule type="expression" dxfId="13" priority="3">
      <formula>($D$8=0)=TRUE</formula>
    </cfRule>
  </conditionalFormatting>
  <conditionalFormatting sqref="E69:E70">
    <cfRule type="expression" dxfId="12" priority="2">
      <formula>($D$8=0)=TRUE</formula>
    </cfRule>
  </conditionalFormatting>
  <conditionalFormatting sqref="E91">
    <cfRule type="expression" dxfId="11" priority="1">
      <formula>($D$8=0)=TRUE</formula>
    </cfRule>
  </conditionalFormatting>
  <hyperlinks>
    <hyperlink ref="D86" r:id="rId1" display="=+@roundup((E80/D76),1)" xr:uid="{00000000-0004-0000-0000-000000000000}"/>
    <hyperlink ref="D95" r:id="rId2" display="=+@roundup((E80/D76),1)" xr:uid="{00000000-0004-0000-0000-000001000000}"/>
  </hyperlinks>
  <pageMargins left="0.25" right="0.25" top="0.75" bottom="0.75" header="0.3" footer="0.3"/>
  <pageSetup scale="22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3"/>
  <sheetViews>
    <sheetView zoomScale="70" zoomScaleNormal="70" workbookViewId="0"/>
  </sheetViews>
  <sheetFormatPr defaultRowHeight="12.3" x14ac:dyDescent="0.4"/>
  <cols>
    <col min="1" max="1" width="9.6640625" customWidth="1"/>
    <col min="2" max="2" width="30.6640625" customWidth="1"/>
    <col min="3" max="6" width="35.6640625" customWidth="1"/>
    <col min="7" max="7" width="34.5546875" customWidth="1"/>
    <col min="8" max="8" width="37.33203125" customWidth="1"/>
    <col min="9" max="9" width="31.88671875" customWidth="1"/>
    <col min="10" max="10" width="5.44140625" customWidth="1"/>
    <col min="11" max="11" width="19.88671875" customWidth="1"/>
    <col min="12" max="15" width="40.6640625" customWidth="1"/>
    <col min="16" max="16" width="40.6640625" hidden="1" customWidth="1"/>
    <col min="17" max="17" width="8.5546875" hidden="1" customWidth="1"/>
    <col min="18" max="19" width="36.5546875" hidden="1" customWidth="1"/>
    <col min="20" max="20" width="35.5546875" hidden="1" customWidth="1"/>
    <col min="21" max="22" width="9.109375" hidden="1" customWidth="1"/>
    <col min="23" max="30" width="0" hidden="1" customWidth="1"/>
  </cols>
  <sheetData>
    <row r="1" spans="2:21" ht="50.1" customHeight="1" x14ac:dyDescent="1.45">
      <c r="B1" s="21" t="s">
        <v>200</v>
      </c>
      <c r="S1" s="22">
        <f>+H11</f>
        <v>190000</v>
      </c>
    </row>
    <row r="2" spans="2:21" ht="30" customHeight="1" x14ac:dyDescent="0.7">
      <c r="B2" s="2" t="s">
        <v>1</v>
      </c>
      <c r="H2" s="23"/>
    </row>
    <row r="3" spans="2:21" ht="30" customHeight="1" x14ac:dyDescent="0.6">
      <c r="B3" s="24" t="s">
        <v>27</v>
      </c>
    </row>
    <row r="4" spans="2:21" ht="30" customHeight="1" x14ac:dyDescent="0.85">
      <c r="B4" s="380" t="s">
        <v>201</v>
      </c>
      <c r="E4" s="425">
        <v>0</v>
      </c>
    </row>
    <row r="5" spans="2:21" ht="30" customHeight="1" x14ac:dyDescent="0.85">
      <c r="B5" s="26"/>
      <c r="R5" s="27" t="s">
        <v>28</v>
      </c>
      <c r="S5" s="27" t="s">
        <v>29</v>
      </c>
    </row>
    <row r="6" spans="2:21" ht="21.9" customHeight="1" thickBot="1" x14ac:dyDescent="0.9">
      <c r="B6" s="28" t="s">
        <v>30</v>
      </c>
      <c r="R6" s="27" t="s">
        <v>31</v>
      </c>
      <c r="S6" s="27" t="s">
        <v>31</v>
      </c>
    </row>
    <row r="7" spans="2:21" ht="24.9" customHeight="1" x14ac:dyDescent="0.85">
      <c r="B7" s="29" t="s">
        <v>32</v>
      </c>
      <c r="C7" s="30"/>
      <c r="D7" s="419">
        <v>500</v>
      </c>
      <c r="E7" s="473">
        <f>+D7*0.305</f>
        <v>152.5</v>
      </c>
      <c r="F7" s="30" t="s">
        <v>33</v>
      </c>
      <c r="G7" s="31"/>
      <c r="H7" s="421">
        <v>0.13</v>
      </c>
      <c r="I7" s="476">
        <v>0.1</v>
      </c>
      <c r="R7" s="32">
        <f>+IF(G20&gt;=22,4,IF(G20&gt;=21,3,IF(G20&gt;=20,2,IF(G20&gt;=19,1,0))))</f>
        <v>2</v>
      </c>
      <c r="S7" s="32">
        <f>+IF(T7&gt;0.82,4,IF(T7&gt;0.77,3,IF(T7&gt;0.72,2,IF(T7&gt;=0.7,1,0))))</f>
        <v>4</v>
      </c>
      <c r="T7" s="33">
        <f>ROUND(F20/C20,2)</f>
        <v>1</v>
      </c>
    </row>
    <row r="8" spans="2:21" ht="24.9" customHeight="1" x14ac:dyDescent="0.85">
      <c r="B8" s="34" t="s">
        <v>34</v>
      </c>
      <c r="C8" s="35"/>
      <c r="D8" s="420">
        <v>40</v>
      </c>
      <c r="E8" s="474">
        <f t="shared" ref="E8:E10" si="0">+D8*0.305</f>
        <v>12.2</v>
      </c>
      <c r="F8" s="35" t="s">
        <v>35</v>
      </c>
      <c r="H8" s="422">
        <v>3000</v>
      </c>
      <c r="I8" s="477">
        <v>3000</v>
      </c>
      <c r="R8" s="32">
        <f>+IF(G21&gt;=22,4,IF(G21&gt;=21,3,IF(G21&gt;=20,2,IF(G21&gt;=19,1,0))))</f>
        <v>2</v>
      </c>
      <c r="S8" s="32">
        <f>+IF(T8&gt;0.82,4,IF(T8&gt;0.77,3,IF(T8&gt;0.72,2,IF(T8&gt;=0.7,1,0))))</f>
        <v>4</v>
      </c>
      <c r="T8" s="33">
        <f>ROUND(F21/C21,2)</f>
        <v>1</v>
      </c>
    </row>
    <row r="9" spans="2:21" ht="24.9" customHeight="1" x14ac:dyDescent="0.85">
      <c r="B9" s="34" t="s">
        <v>36</v>
      </c>
      <c r="C9" s="35"/>
      <c r="D9" s="420">
        <v>8</v>
      </c>
      <c r="E9" s="474">
        <f t="shared" si="0"/>
        <v>2.44</v>
      </c>
      <c r="F9" s="35" t="s">
        <v>37</v>
      </c>
      <c r="G9" s="36"/>
      <c r="H9" s="423">
        <v>700</v>
      </c>
      <c r="I9" s="478">
        <f>+H9/200</f>
        <v>3.5</v>
      </c>
      <c r="R9" s="32"/>
      <c r="S9" s="32"/>
      <c r="T9" s="33"/>
    </row>
    <row r="10" spans="2:21" ht="24.9" customHeight="1" x14ac:dyDescent="0.85">
      <c r="B10" s="34" t="s">
        <v>38</v>
      </c>
      <c r="C10" s="35"/>
      <c r="D10" s="420">
        <v>11</v>
      </c>
      <c r="E10" s="474">
        <f t="shared" si="0"/>
        <v>3.355</v>
      </c>
      <c r="F10" s="35" t="s">
        <v>39</v>
      </c>
      <c r="G10" s="36"/>
      <c r="H10" s="423">
        <v>9.5</v>
      </c>
      <c r="I10" s="479">
        <f>+H10*1.7/(0.305*0.305)</f>
        <v>173.60924482665948</v>
      </c>
      <c r="R10" s="32">
        <f>+IF(G22&gt;=22,4,IF(G22&gt;=21,3,IF(G22&gt;=20,2,IF(G22&gt;=19,1,0))))</f>
        <v>2</v>
      </c>
      <c r="S10" s="32">
        <f>+IF(T10&gt;0.82,4,IF(T10&gt;0.77,3,IF(T10&gt;0.72,2,IF(T10&gt;=0.7,1,0))))</f>
        <v>4</v>
      </c>
      <c r="T10" s="33">
        <f>ROUND(F22/C22,2)</f>
        <v>1</v>
      </c>
    </row>
    <row r="11" spans="2:21" ht="24.9" customHeight="1" thickBot="1" x14ac:dyDescent="0.9">
      <c r="B11" s="37"/>
      <c r="C11" s="38"/>
      <c r="D11" s="417"/>
      <c r="E11" s="475"/>
      <c r="F11" s="38" t="s">
        <v>40</v>
      </c>
      <c r="G11" s="39"/>
      <c r="H11" s="424">
        <f>+H10*D7*D8</f>
        <v>190000</v>
      </c>
      <c r="I11" s="480">
        <f>+H11*1.7</f>
        <v>323000</v>
      </c>
      <c r="R11" s="25"/>
      <c r="S11" s="25"/>
    </row>
    <row r="12" spans="2:21" ht="24.9" customHeight="1" thickBot="1" x14ac:dyDescent="0.75">
      <c r="B12" s="25"/>
      <c r="C12" s="35"/>
      <c r="D12" s="40"/>
      <c r="E12" s="25"/>
      <c r="F12" s="41"/>
      <c r="G12" s="42"/>
      <c r="R12" s="25"/>
      <c r="S12" s="25"/>
    </row>
    <row r="13" spans="2:21" ht="24.9" customHeight="1" x14ac:dyDescent="0.65">
      <c r="B13" s="25"/>
      <c r="E13" s="25" t="s">
        <v>41</v>
      </c>
      <c r="R13" s="43" t="s">
        <v>42</v>
      </c>
      <c r="S13" s="43" t="s">
        <v>43</v>
      </c>
      <c r="U13" s="44"/>
    </row>
    <row r="14" spans="2:21" ht="24.9" customHeight="1" x14ac:dyDescent="0.65">
      <c r="B14" s="25"/>
      <c r="E14" s="25"/>
      <c r="R14" s="45"/>
      <c r="S14" s="45"/>
      <c r="U14" s="44"/>
    </row>
    <row r="15" spans="2:21" ht="24.9" customHeight="1" x14ac:dyDescent="0.65">
      <c r="B15" s="25"/>
      <c r="E15" s="25"/>
      <c r="R15" s="45"/>
      <c r="S15" s="45"/>
      <c r="U15" s="44"/>
    </row>
    <row r="16" spans="2:21" ht="24.9" customHeight="1" x14ac:dyDescent="0.65">
      <c r="B16" s="25"/>
      <c r="E16" s="25"/>
      <c r="R16" s="45"/>
      <c r="S16" s="45"/>
      <c r="U16" s="44"/>
    </row>
    <row r="17" spans="1:21" s="25" customFormat="1" ht="21.9" customHeight="1" thickBot="1" x14ac:dyDescent="0.9">
      <c r="B17" s="28" t="s">
        <v>44</v>
      </c>
      <c r="D17" s="46"/>
      <c r="E17" s="46"/>
      <c r="F17" s="46"/>
      <c r="G17" s="47"/>
      <c r="H17" s="47"/>
      <c r="R17" s="48">
        <f>+($D$9+$D$10)/2*$D$8*$H$9</f>
        <v>266000</v>
      </c>
      <c r="S17" s="48">
        <f>+IF(R17&gt;$S$1,R17,$S$1)</f>
        <v>266000</v>
      </c>
      <c r="T17"/>
      <c r="U17" s="44"/>
    </row>
    <row r="18" spans="1:21" s="25" customFormat="1" ht="21.9" customHeight="1" x14ac:dyDescent="0.7">
      <c r="B18" s="49" t="s">
        <v>45</v>
      </c>
      <c r="C18" s="50" t="s">
        <v>46</v>
      </c>
      <c r="D18" s="51" t="s">
        <v>47</v>
      </c>
      <c r="E18" s="51" t="s">
        <v>48</v>
      </c>
      <c r="F18" s="52" t="s">
        <v>49</v>
      </c>
      <c r="G18" s="53" t="s">
        <v>50</v>
      </c>
      <c r="H18" s="54" t="s">
        <v>51</v>
      </c>
      <c r="I18" s="54" t="s">
        <v>52</v>
      </c>
      <c r="Q18" s="48">
        <f>+($D$9+$D$10)/2*$D$8*$H$9</f>
        <v>266000</v>
      </c>
      <c r="R18" s="48">
        <f>+IF(Q18&gt;$S$1,Q18,$S$1)</f>
        <v>266000</v>
      </c>
      <c r="T18" s="55"/>
    </row>
    <row r="19" spans="1:21" s="25" customFormat="1" ht="21.9" customHeight="1" thickBot="1" x14ac:dyDescent="0.75">
      <c r="B19" s="56"/>
      <c r="C19" s="57"/>
      <c r="D19" s="58"/>
      <c r="E19" s="58"/>
      <c r="F19" s="59"/>
      <c r="G19" s="60" t="s">
        <v>53</v>
      </c>
      <c r="H19" s="61" t="s">
        <v>54</v>
      </c>
      <c r="I19" s="62" t="s">
        <v>55</v>
      </c>
      <c r="Q19" s="63">
        <f>+($D$9+$D$10)/2*$D$8*$H$9</f>
        <v>266000</v>
      </c>
      <c r="R19" s="63">
        <f>+IF(Q19&gt;$S$1,Q19,$S$1)</f>
        <v>266000</v>
      </c>
      <c r="S19" s="27"/>
    </row>
    <row r="20" spans="1:21" s="25" customFormat="1" ht="21" customHeight="1" thickBot="1" x14ac:dyDescent="0.9">
      <c r="B20" s="426" t="s">
        <v>202</v>
      </c>
      <c r="C20" s="427">
        <v>20000</v>
      </c>
      <c r="D20" s="427">
        <v>20000</v>
      </c>
      <c r="E20" s="427">
        <v>20000</v>
      </c>
      <c r="F20" s="427">
        <v>20000</v>
      </c>
      <c r="G20" s="428">
        <v>20</v>
      </c>
      <c r="H20" s="429">
        <f>+F20/C20</f>
        <v>1</v>
      </c>
      <c r="I20" s="430">
        <v>1000</v>
      </c>
      <c r="J20" s="25" t="s">
        <v>41</v>
      </c>
      <c r="Q20" s="63">
        <f>+($D$9+$D$10)/2*$D$8*$H$9</f>
        <v>266000</v>
      </c>
      <c r="R20" s="63">
        <f>+IF(Q20&gt;$S$1,Q20,$S$1)</f>
        <v>266000</v>
      </c>
      <c r="S20" s="27"/>
    </row>
    <row r="21" spans="1:21" s="25" customFormat="1" ht="21.9" customHeight="1" x14ac:dyDescent="0.85">
      <c r="B21" s="431" t="s">
        <v>202</v>
      </c>
      <c r="C21" s="432">
        <v>20000</v>
      </c>
      <c r="D21" s="432">
        <v>20000</v>
      </c>
      <c r="E21" s="432">
        <v>20000</v>
      </c>
      <c r="F21" s="432">
        <v>20000</v>
      </c>
      <c r="G21" s="433">
        <v>20</v>
      </c>
      <c r="H21" s="434">
        <f>+F21/C21</f>
        <v>1</v>
      </c>
      <c r="I21" s="435">
        <v>1000</v>
      </c>
      <c r="S21" s="64"/>
    </row>
    <row r="22" spans="1:21" s="25" customFormat="1" ht="21.9" customHeight="1" x14ac:dyDescent="0.85">
      <c r="B22" s="431" t="s">
        <v>202</v>
      </c>
      <c r="C22" s="432">
        <v>20000</v>
      </c>
      <c r="D22" s="432">
        <v>20000</v>
      </c>
      <c r="E22" s="432">
        <v>20000</v>
      </c>
      <c r="F22" s="432">
        <v>20000</v>
      </c>
      <c r="G22" s="433">
        <v>20</v>
      </c>
      <c r="H22" s="434">
        <f>+F22/C22</f>
        <v>1</v>
      </c>
      <c r="I22" s="435">
        <v>1000</v>
      </c>
      <c r="S22" s="64"/>
    </row>
    <row r="23" spans="1:21" s="25" customFormat="1" ht="21.9" customHeight="1" thickBot="1" x14ac:dyDescent="0.9">
      <c r="B23" s="431" t="s">
        <v>202</v>
      </c>
      <c r="C23" s="432">
        <v>20000</v>
      </c>
      <c r="D23" s="432">
        <v>20000</v>
      </c>
      <c r="E23" s="432">
        <v>20000</v>
      </c>
      <c r="F23" s="432">
        <v>20000</v>
      </c>
      <c r="G23" s="433">
        <v>20</v>
      </c>
      <c r="H23" s="436">
        <f>+F23/C23</f>
        <v>1</v>
      </c>
      <c r="I23" s="437">
        <v>1000</v>
      </c>
      <c r="K23" s="32"/>
      <c r="L23" s="32"/>
      <c r="M23" s="32"/>
      <c r="N23" s="32"/>
      <c r="O23" s="32"/>
      <c r="P23" s="32"/>
      <c r="S23" s="64"/>
    </row>
    <row r="24" spans="1:21" s="25" customFormat="1" ht="21.9" customHeight="1" x14ac:dyDescent="0.75">
      <c r="B24" s="65"/>
      <c r="C24" s="66"/>
      <c r="D24" s="66"/>
      <c r="E24" s="66"/>
      <c r="F24" s="66"/>
      <c r="G24" s="67"/>
      <c r="H24" s="68"/>
      <c r="I24" s="69"/>
      <c r="K24" s="32"/>
      <c r="L24" s="32"/>
      <c r="M24" s="32"/>
      <c r="N24" s="32"/>
      <c r="O24" s="32"/>
      <c r="P24" s="32"/>
      <c r="Q24" s="32"/>
      <c r="T24" s="64"/>
    </row>
    <row r="25" spans="1:21" s="25" customFormat="1" ht="21.9" customHeight="1" x14ac:dyDescent="0.75">
      <c r="B25" s="65"/>
      <c r="C25" s="66"/>
      <c r="D25" s="66"/>
      <c r="E25" s="66"/>
      <c r="F25" s="66"/>
      <c r="G25" s="67"/>
      <c r="H25" s="68"/>
      <c r="I25" s="69"/>
      <c r="K25" s="32"/>
      <c r="L25" s="32"/>
      <c r="M25" s="32"/>
      <c r="N25" s="32"/>
      <c r="O25" s="32"/>
      <c r="P25" s="32"/>
      <c r="Q25" s="32"/>
      <c r="T25" s="64"/>
    </row>
    <row r="26" spans="1:21" s="25" customFormat="1" ht="21.9" customHeight="1" x14ac:dyDescent="0.75">
      <c r="G26" s="70"/>
      <c r="J26" s="32"/>
      <c r="K26" s="32"/>
      <c r="L26" s="32"/>
      <c r="M26" s="32"/>
      <c r="N26" s="32"/>
      <c r="O26" s="32"/>
      <c r="P26" s="32"/>
      <c r="Q26" s="32"/>
    </row>
    <row r="27" spans="1:21" ht="21.9" customHeight="1" thickBot="1" x14ac:dyDescent="0.9">
      <c r="B27" s="28" t="s">
        <v>56</v>
      </c>
      <c r="D27" s="28"/>
      <c r="E27" s="28"/>
      <c r="F27" s="28"/>
      <c r="G27" s="28"/>
      <c r="K27" s="47"/>
    </row>
    <row r="28" spans="1:21" ht="21.9" customHeight="1" x14ac:dyDescent="0.7">
      <c r="A28" s="71"/>
      <c r="B28" s="50" t="s">
        <v>45</v>
      </c>
      <c r="C28" s="53" t="s">
        <v>57</v>
      </c>
      <c r="D28" s="72" t="s">
        <v>58</v>
      </c>
      <c r="E28" s="51" t="s">
        <v>59</v>
      </c>
      <c r="F28" s="51" t="s">
        <v>60</v>
      </c>
      <c r="G28" s="51" t="s">
        <v>61</v>
      </c>
      <c r="H28" s="73" t="s">
        <v>62</v>
      </c>
      <c r="I28" s="74"/>
      <c r="S28" s="75"/>
    </row>
    <row r="29" spans="1:21" ht="21.9" customHeight="1" thickBot="1" x14ac:dyDescent="0.8">
      <c r="A29" s="70"/>
      <c r="B29" s="76"/>
      <c r="C29" s="77" t="s">
        <v>63</v>
      </c>
      <c r="D29" s="78" t="s">
        <v>64</v>
      </c>
      <c r="E29" s="79" t="s">
        <v>65</v>
      </c>
      <c r="F29" s="79" t="s">
        <v>66</v>
      </c>
      <c r="G29" s="79" t="s">
        <v>67</v>
      </c>
      <c r="H29" s="80" t="s">
        <v>68</v>
      </c>
      <c r="I29" s="74"/>
    </row>
    <row r="30" spans="1:21" ht="21.9" customHeight="1" x14ac:dyDescent="0.85">
      <c r="A30" s="81"/>
      <c r="B30" s="438" t="str">
        <f>+B20</f>
        <v xml:space="preserve">name </v>
      </c>
      <c r="C30" s="439">
        <f>IF($H$9&gt;725,0.2,IF($H$9&gt;=600,0.15, IF($H$9&gt;=450,0.1,IF($H$9&gt;=300,0.05,0.05))))</f>
        <v>0.15</v>
      </c>
      <c r="D30" s="440">
        <f>IF($H$9&gt;725,F20,IF($H$9&gt;=600,E20, IF($H$9&gt;=450,D20,IF($H$9&gt;=300,C20,C20))))</f>
        <v>20000</v>
      </c>
      <c r="E30" s="441">
        <f>+IF((-INT(S17/D30)+(S17/D30))&lt;0.5,INT(S17/D30),ROUNDUP(S17/D30,0))</f>
        <v>13</v>
      </c>
      <c r="F30" s="442">
        <f>+IF(A30&gt;0,ROUND(D30*A30,-2),ROUND(D30*E30,-2))</f>
        <v>260000</v>
      </c>
      <c r="G30" s="443">
        <f>+IF(A30&gt;0,ROUND((A30*(($D$20)/(($G$20)))/1000*$H$8*$H$7),-1),ROUND((E30*(($D$20)/(($G$20)))/1000*$H$8*$H$7),-1))</f>
        <v>5070</v>
      </c>
      <c r="H30" s="444">
        <f>+ROUND((F30/(D8*(D9+D10)/2)),-1)</f>
        <v>680</v>
      </c>
      <c r="I30" s="418">
        <f>+H30/200</f>
        <v>3.4</v>
      </c>
    </row>
    <row r="31" spans="1:21" ht="21.9" customHeight="1" x14ac:dyDescent="0.85">
      <c r="A31" s="81"/>
      <c r="B31" s="445" t="str">
        <f>+B21</f>
        <v xml:space="preserve">name </v>
      </c>
      <c r="C31" s="446">
        <f>IF($H$9&gt;725,0.2,IF($H$9&gt;=600,0.15, IF($H$9&gt;=450,0.1,IF($H$9&gt;=300,0.05,0.05))))</f>
        <v>0.15</v>
      </c>
      <c r="D31" s="447">
        <f>IF($H$9&gt;725,F21,IF($H$9&gt;=600,E21, IF($H$9&gt;=450,D21,IF($H$9&gt;=300,C21,C21))))</f>
        <v>20000</v>
      </c>
      <c r="E31" s="448">
        <f>+IF((-INT(R18/D31)+(R18/D31))&lt;0.5,INT(R18/D31),ROUNDUP(R18/D31,0))</f>
        <v>13</v>
      </c>
      <c r="F31" s="449">
        <f>+IF(A31&gt;0,ROUND(D31*A31,-2),ROUND(D31*E31,-2))</f>
        <v>260000</v>
      </c>
      <c r="G31" s="450">
        <f>+IF(A31&gt;0,ROUND((A31*(($D$21)/(($G$21)))/1000*$H$8*$H$7),-1),ROUND((E31*(($D$21)/(($G$21)))/1000*$H$8*$H$7),-1))</f>
        <v>5070</v>
      </c>
      <c r="H31" s="451">
        <f>+ROUND((F31/(D8*(D9+D10)/2)),-1)</f>
        <v>680</v>
      </c>
      <c r="I31" s="418">
        <f t="shared" ref="I31:I33" si="1">+H31/200</f>
        <v>3.4</v>
      </c>
    </row>
    <row r="32" spans="1:21" ht="21.9" customHeight="1" x14ac:dyDescent="0.85">
      <c r="A32" s="81"/>
      <c r="B32" s="445" t="str">
        <f>+B22</f>
        <v xml:space="preserve">name </v>
      </c>
      <c r="C32" s="446">
        <f>IF($H$9&gt;725,0.2,IF($H$9&gt;=600,0.15, IF($H$9&gt;=450,0.1,IF($H$9&gt;=300,0.05,0.05))))</f>
        <v>0.15</v>
      </c>
      <c r="D32" s="447">
        <f>IF($H$9&gt;725,F22,IF($H$9&gt;=600,E22, IF($H$9&gt;=450,D22,IF($H$9&gt;=300,C22,C22))))</f>
        <v>20000</v>
      </c>
      <c r="E32" s="448">
        <f>+IF((-INT(R19/D32)+(R19/D32))&lt;0.5,INT(R19/D32),ROUNDUP(R19/D32,0))</f>
        <v>13</v>
      </c>
      <c r="F32" s="449">
        <f>+IF(A32&gt;0,ROUND(D32*A32,-2),ROUND(D32*E32,-2))</f>
        <v>260000</v>
      </c>
      <c r="G32" s="450">
        <f>+IF(A32&gt;0,ROUND((A32*(($D$22)/(($G$22)))/1000*$H$8*$H$7),-1),ROUND((E32*(($D$22)/(($G$22)))/1000*$H$8*$H$7),-1))</f>
        <v>5070</v>
      </c>
      <c r="H32" s="451">
        <f>+ROUND((F32/(D8*(D9+D10)/2)),-1)</f>
        <v>680</v>
      </c>
      <c r="I32" s="418">
        <f t="shared" si="1"/>
        <v>3.4</v>
      </c>
    </row>
    <row r="33" spans="1:19" ht="21.9" customHeight="1" thickBot="1" x14ac:dyDescent="0.9">
      <c r="A33" s="81"/>
      <c r="B33" s="452" t="str">
        <f>+B23</f>
        <v xml:space="preserve">name </v>
      </c>
      <c r="C33" s="453">
        <f>IF($H$9&gt;725,0.2,IF($H$9&gt;=600,0.15, IF($H$9&gt;=450,0.1,IF($H$9&gt;=300,0.05,0.05))))</f>
        <v>0.15</v>
      </c>
      <c r="D33" s="454">
        <f>IF($H$9&gt;725,F23,IF($H$9&gt;=600,E23, IF($H$9&gt;=450,D23,IF($H$9&gt;=300,C23,C23))))</f>
        <v>20000</v>
      </c>
      <c r="E33" s="455">
        <f>+IF((-INT(R20/D33)+(R20/D33))&lt;0.5,INT(R20/D33),ROUNDUP(R20/D33,0))</f>
        <v>13</v>
      </c>
      <c r="F33" s="456">
        <f>+IF(A33&gt;0,ROUND(D33*A33,-2),ROUND(D33*E33,-2))</f>
        <v>260000</v>
      </c>
      <c r="G33" s="457">
        <f>+IF(A33&gt;0,ROUND((A33*(($D$23)/(($G$23)))/1000*$H$8*$H$7),-1),ROUND((E33*(($D$23)/(($G$23)))/1000*$H$8*$H$7),-1))</f>
        <v>5070</v>
      </c>
      <c r="H33" s="458">
        <f>+ROUND((F33/(D8*(D9+D10)/2)),-1)</f>
        <v>680</v>
      </c>
      <c r="I33" s="418">
        <f t="shared" si="1"/>
        <v>3.4</v>
      </c>
    </row>
    <row r="34" spans="1:19" ht="21.9" customHeight="1" x14ac:dyDescent="0.75">
      <c r="A34" s="81"/>
      <c r="B34" s="70"/>
      <c r="C34" s="83"/>
      <c r="D34" s="84"/>
      <c r="E34" s="85"/>
      <c r="F34" s="86"/>
      <c r="G34" s="87"/>
      <c r="H34" s="88"/>
      <c r="I34" s="82"/>
    </row>
    <row r="35" spans="1:19" ht="21.9" customHeight="1" x14ac:dyDescent="0.75">
      <c r="A35" s="81"/>
      <c r="B35" s="70"/>
      <c r="C35" s="83"/>
      <c r="D35" s="84"/>
      <c r="E35" s="85"/>
      <c r="F35" s="86"/>
      <c r="G35" s="89"/>
      <c r="H35" s="87"/>
      <c r="I35" s="82"/>
    </row>
    <row r="36" spans="1:19" ht="21.9" customHeight="1" thickBot="1" x14ac:dyDescent="0.9">
      <c r="A36" s="90"/>
      <c r="B36" s="28" t="s">
        <v>69</v>
      </c>
      <c r="C36" s="91"/>
      <c r="D36" s="92"/>
      <c r="E36" s="92"/>
      <c r="H36" s="93"/>
      <c r="I36" s="93"/>
      <c r="K36" s="94"/>
      <c r="S36" s="33"/>
    </row>
    <row r="37" spans="1:19" ht="21.9" customHeight="1" x14ac:dyDescent="0.8">
      <c r="A37" s="95"/>
      <c r="B37" s="50" t="s">
        <v>45</v>
      </c>
      <c r="C37" s="96"/>
      <c r="D37" s="72" t="s">
        <v>70</v>
      </c>
      <c r="E37" s="97"/>
      <c r="F37" s="72" t="s">
        <v>71</v>
      </c>
      <c r="G37" s="98"/>
      <c r="H37" s="99"/>
      <c r="I37" s="100"/>
      <c r="J37" s="100"/>
      <c r="K37" s="100"/>
      <c r="L37" s="100"/>
      <c r="M37" s="100"/>
      <c r="N37" s="100"/>
      <c r="O37" s="100"/>
      <c r="P37" s="100"/>
    </row>
    <row r="38" spans="1:19" ht="21.9" customHeight="1" thickBot="1" x14ac:dyDescent="0.65">
      <c r="A38" s="101"/>
      <c r="B38" s="76"/>
      <c r="C38" s="79" t="s">
        <v>69</v>
      </c>
      <c r="D38" s="102" t="s">
        <v>72</v>
      </c>
      <c r="E38" s="103" t="s">
        <v>73</v>
      </c>
      <c r="F38" s="102" t="str">
        <f>+D38</f>
        <v>Electricity cost</v>
      </c>
      <c r="G38" s="104" t="str">
        <f>+E38</f>
        <v>Total cost</v>
      </c>
    </row>
    <row r="39" spans="1:19" ht="21.9" customHeight="1" x14ac:dyDescent="0.85">
      <c r="B39" s="459" t="str">
        <f>+B30</f>
        <v xml:space="preserve">name </v>
      </c>
      <c r="C39" s="460">
        <f>+IF(A30&gt;E30,I20*A30,I20*E30)</f>
        <v>13000</v>
      </c>
      <c r="D39" s="461">
        <f>+G30*5</f>
        <v>25350</v>
      </c>
      <c r="E39" s="462">
        <f>+C39+D39</f>
        <v>38350</v>
      </c>
      <c r="F39" s="463">
        <f>+D39*2</f>
        <v>50700</v>
      </c>
      <c r="G39" s="464">
        <f>+F39+C39</f>
        <v>63700</v>
      </c>
    </row>
    <row r="40" spans="1:19" ht="21.9" customHeight="1" x14ac:dyDescent="0.85">
      <c r="B40" s="445" t="str">
        <f>+B31</f>
        <v xml:space="preserve">name </v>
      </c>
      <c r="C40" s="465">
        <f>+IF(A31&gt;E31,I21*A31,I21*E31)</f>
        <v>13000</v>
      </c>
      <c r="D40" s="466">
        <f>+G31*5</f>
        <v>25350</v>
      </c>
      <c r="E40" s="467">
        <f>+C40+D40</f>
        <v>38350</v>
      </c>
      <c r="F40" s="450">
        <f>+D40*2</f>
        <v>50700</v>
      </c>
      <c r="G40" s="468">
        <f>+F40+C40</f>
        <v>63700</v>
      </c>
    </row>
    <row r="41" spans="1:19" ht="21.9" customHeight="1" x14ac:dyDescent="0.85">
      <c r="B41" s="445" t="str">
        <f>+B32</f>
        <v xml:space="preserve">name </v>
      </c>
      <c r="C41" s="465">
        <f>+IF(A32&gt;E32,I22*A32,I22*E32)</f>
        <v>13000</v>
      </c>
      <c r="D41" s="466">
        <f>+G32*5</f>
        <v>25350</v>
      </c>
      <c r="E41" s="467">
        <f>+C41+D41</f>
        <v>38350</v>
      </c>
      <c r="F41" s="450">
        <f>+D41*2</f>
        <v>50700</v>
      </c>
      <c r="G41" s="468">
        <f>+F41+C41</f>
        <v>63700</v>
      </c>
    </row>
    <row r="42" spans="1:19" ht="21.9" customHeight="1" thickBot="1" x14ac:dyDescent="0.9">
      <c r="B42" s="452" t="str">
        <f>+B33</f>
        <v xml:space="preserve">name </v>
      </c>
      <c r="C42" s="469">
        <f>+IF(A33&gt;E33,I23*A33,I23*E33)</f>
        <v>13000</v>
      </c>
      <c r="D42" s="470">
        <f>+G33*5</f>
        <v>25350</v>
      </c>
      <c r="E42" s="471">
        <f>+C42+D42</f>
        <v>38350</v>
      </c>
      <c r="F42" s="457">
        <f>+D42*2</f>
        <v>50700</v>
      </c>
      <c r="G42" s="472">
        <f>+F42+C42</f>
        <v>63700</v>
      </c>
    </row>
    <row r="43" spans="1:19" ht="21.9" customHeight="1" x14ac:dyDescent="0.5">
      <c r="F43" s="27"/>
      <c r="G43" s="27"/>
    </row>
  </sheetData>
  <sheetProtection selectLockedCells="1"/>
  <conditionalFormatting sqref="H34">
    <cfRule type="cellIs" dxfId="10" priority="17" stopIfTrue="1" operator="greaterThanOrEqual">
      <formula>550</formula>
    </cfRule>
    <cfRule type="cellIs" dxfId="9" priority="18" stopIfTrue="1" operator="between">
      <formula>549</formula>
      <formula>450</formula>
    </cfRule>
    <cfRule type="cellIs" dxfId="8" priority="19" stopIfTrue="1" operator="between">
      <formula>449</formula>
      <formula>400</formula>
    </cfRule>
  </conditionalFormatting>
  <conditionalFormatting sqref="T24:T25 S21:S23">
    <cfRule type="expression" dxfId="7" priority="16" stopIfTrue="1">
      <formula>"$h15=2 and $i15=2"</formula>
    </cfRule>
  </conditionalFormatting>
  <conditionalFormatting sqref="E7:E11 I9:I11">
    <cfRule type="expression" dxfId="6" priority="30">
      <formula>($E$4=0)=TRUE</formula>
    </cfRule>
  </conditionalFormatting>
  <conditionalFormatting sqref="I7:I8">
    <cfRule type="expression" dxfId="5" priority="3">
      <formula>($E$4=0)=TRUE</formula>
    </cfRule>
  </conditionalFormatting>
  <conditionalFormatting sqref="I30:I33">
    <cfRule type="expression" dxfId="4" priority="2">
      <formula>($E$4=0)=TRUE</formula>
    </cfRule>
  </conditionalFormatting>
  <pageMargins left="0.75" right="0.72" top="1" bottom="1" header="0.5" footer="0.5"/>
  <pageSetup scale="41" orientation="landscape" horizontalDpi="360" verticalDpi="36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00000000-000E-0000-0100-000002000000}">
            <x14:iconSet custom="1">
              <x14:cfvo type="percent">
                <xm:f>0</xm:f>
              </x14:cfvo>
              <x14:cfvo type="num">
                <xm:f>0.755</xm:f>
              </x14:cfvo>
              <x14:cfvo type="num">
                <xm:f>0.79</xm:f>
              </x14:cfvo>
              <x14:cfIcon iconSet="3TrafficLights1" iconId="0"/>
              <x14:cfIcon iconSet="3Stars" iconId="0"/>
              <x14:cfIcon iconSet="3Stars" iconId="2"/>
            </x14:iconSet>
          </x14:cfRule>
          <xm:sqref>H20:H23</xm:sqref>
        </x14:conditionalFormatting>
        <x14:conditionalFormatting xmlns:xm="http://schemas.microsoft.com/office/excel/2006/main">
          <x14:cfRule type="iconSet" priority="10" id="{00000000-000E-0000-0100-000001000000}">
            <x14:iconSet iconSet="4TrafficLights" custom="1">
              <x14:cfvo type="percent">
                <xm:f>0</xm:f>
              </x14:cfvo>
              <x14:cfvo type="num">
                <xm:f>19</xm:f>
              </x14:cfvo>
              <x14:cfvo type="num">
                <xm:f>20.8</xm:f>
              </x14:cfvo>
              <x14:cfvo type="num">
                <xm:f>22</xm:f>
              </x14:cfvo>
              <x14:cfIcon iconSet="3TrafficLights1" iconId="0"/>
              <x14:cfIcon iconSet="3Stars" iconId="0"/>
              <x14:cfIcon iconSet="3Stars" iconId="1"/>
              <x14:cfIcon iconSet="3Stars" iconId="2"/>
            </x14:iconSet>
          </x14:cfRule>
          <xm:sqref>G20 G22:G23</xm:sqref>
        </x14:conditionalFormatting>
        <x14:conditionalFormatting xmlns:xm="http://schemas.microsoft.com/office/excel/2006/main">
          <x14:cfRule type="iconSet" priority="1" id="{1B131455-3BC4-4686-AEC4-10EAC4C6CB44}">
            <x14:iconSet iconSet="4TrafficLights" custom="1">
              <x14:cfvo type="percent">
                <xm:f>0</xm:f>
              </x14:cfvo>
              <x14:cfvo type="num">
                <xm:f>19</xm:f>
              </x14:cfvo>
              <x14:cfvo type="num">
                <xm:f>20.8</xm:f>
              </x14:cfvo>
              <x14:cfvo type="num">
                <xm:f>22</xm:f>
              </x14:cfvo>
              <x14:cfIcon iconSet="3TrafficLights1" iconId="0"/>
              <x14:cfIcon iconSet="3Stars" iconId="0"/>
              <x14:cfIcon iconSet="3Stars" iconId="1"/>
              <x14:cfIcon iconSet="3Stars" iconId="2"/>
            </x14:iconSet>
          </x14:cfRule>
          <xm:sqref>G21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96"/>
  <sheetViews>
    <sheetView topLeftCell="A3" zoomScale="75" zoomScaleNormal="75" workbookViewId="0">
      <selection activeCell="C27" sqref="C27"/>
    </sheetView>
  </sheetViews>
  <sheetFormatPr defaultRowHeight="19.8" x14ac:dyDescent="0.65"/>
  <cols>
    <col min="1" max="1" width="2.5546875" customWidth="1"/>
    <col min="2" max="2" width="80.33203125" customWidth="1"/>
    <col min="3" max="4" width="32.6640625" customWidth="1"/>
    <col min="5" max="5" width="22.6640625" style="213" customWidth="1"/>
    <col min="6" max="6" width="22.6640625" style="212" customWidth="1"/>
    <col min="7" max="7" width="16.6640625" style="213" hidden="1" customWidth="1"/>
    <col min="8" max="8" width="18.6640625" style="213" hidden="1" customWidth="1"/>
    <col min="9" max="9" width="22.6640625" style="213" customWidth="1"/>
    <col min="10" max="10" width="22.6640625" style="212" customWidth="1"/>
    <col min="11" max="16" width="8.88671875" style="213"/>
    <col min="17" max="43" width="8.88671875" style="227"/>
  </cols>
  <sheetData>
    <row r="1" spans="1:18" ht="33" x14ac:dyDescent="1.1000000000000001">
      <c r="B1" s="105" t="s">
        <v>186</v>
      </c>
    </row>
    <row r="2" spans="1:18" ht="20.100000000000001" x14ac:dyDescent="0.7">
      <c r="B2" s="2" t="s">
        <v>1</v>
      </c>
    </row>
    <row r="3" spans="1:18" ht="20.100000000000001" x14ac:dyDescent="0.7">
      <c r="B3" s="108" t="s">
        <v>74</v>
      </c>
    </row>
    <row r="4" spans="1:18" ht="20.100000000000001" x14ac:dyDescent="0.7">
      <c r="B4" s="2"/>
    </row>
    <row r="5" spans="1:18" ht="22.5" x14ac:dyDescent="0.75">
      <c r="B5" s="310" t="s">
        <v>196</v>
      </c>
      <c r="C5" s="311">
        <v>0</v>
      </c>
      <c r="I5" s="228"/>
      <c r="J5" s="228"/>
      <c r="K5" s="228"/>
      <c r="L5" s="228"/>
      <c r="M5" s="229"/>
      <c r="N5" s="229"/>
      <c r="O5" s="229"/>
      <c r="P5" s="229"/>
      <c r="Q5" s="107"/>
      <c r="R5" s="107"/>
    </row>
    <row r="6" spans="1:18" x14ac:dyDescent="0.65">
      <c r="I6" s="228"/>
      <c r="J6" s="228"/>
      <c r="K6" s="228"/>
      <c r="L6" s="228"/>
      <c r="M6" s="229"/>
      <c r="N6" s="229"/>
      <c r="O6" s="229"/>
      <c r="P6" s="229"/>
      <c r="Q6" s="107"/>
      <c r="R6" s="107"/>
    </row>
    <row r="7" spans="1:18" ht="22.8" thickBot="1" x14ac:dyDescent="0.8">
      <c r="A7" s="106"/>
      <c r="B7" s="204" t="s">
        <v>158</v>
      </c>
      <c r="C7" s="106"/>
      <c r="D7" s="106"/>
      <c r="E7" s="212"/>
      <c r="G7" s="212"/>
      <c r="H7" s="212"/>
      <c r="I7" s="212"/>
      <c r="K7" s="212"/>
    </row>
    <row r="8" spans="1:18" ht="22.5" x14ac:dyDescent="0.75">
      <c r="A8" s="106"/>
      <c r="B8" s="205" t="s">
        <v>152</v>
      </c>
      <c r="C8" s="318">
        <v>180000</v>
      </c>
      <c r="D8" s="285">
        <f>+C8*1.7</f>
        <v>306000</v>
      </c>
      <c r="E8" s="212"/>
      <c r="G8" s="212"/>
      <c r="H8" s="212"/>
      <c r="I8" s="212"/>
      <c r="K8" s="212"/>
    </row>
    <row r="9" spans="1:18" ht="22.5" x14ac:dyDescent="0.75">
      <c r="A9" s="106"/>
      <c r="B9" s="206" t="s">
        <v>75</v>
      </c>
      <c r="C9" s="319">
        <v>90</v>
      </c>
      <c r="D9" s="286">
        <f>+(C9-32)*5/9</f>
        <v>32.222222222222221</v>
      </c>
      <c r="E9" s="212"/>
      <c r="G9" s="212"/>
      <c r="H9" s="230"/>
      <c r="I9" s="212"/>
      <c r="K9" s="212"/>
    </row>
    <row r="10" spans="1:18" ht="22.5" x14ac:dyDescent="0.75">
      <c r="A10" s="106"/>
      <c r="B10" s="206" t="s">
        <v>76</v>
      </c>
      <c r="C10" s="319">
        <v>50</v>
      </c>
      <c r="D10" s="321">
        <f>+C10</f>
        <v>50</v>
      </c>
      <c r="E10" s="231"/>
      <c r="F10" s="231"/>
      <c r="G10" s="231"/>
      <c r="H10" s="231"/>
      <c r="I10" s="231"/>
      <c r="J10" s="231"/>
      <c r="K10" s="212"/>
    </row>
    <row r="11" spans="1:18" ht="22.8" thickBot="1" x14ac:dyDescent="0.8">
      <c r="A11" s="106"/>
      <c r="B11" s="207" t="s">
        <v>148</v>
      </c>
      <c r="C11" s="320">
        <v>5</v>
      </c>
      <c r="D11" s="322">
        <f>+C11*0.305</f>
        <v>1.5249999999999999</v>
      </c>
      <c r="E11" s="231"/>
      <c r="F11" s="231"/>
      <c r="G11" s="231"/>
      <c r="H11" s="231"/>
      <c r="I11" s="231"/>
      <c r="J11" s="231"/>
      <c r="K11" s="212"/>
    </row>
    <row r="12" spans="1:18" ht="22.5" x14ac:dyDescent="0.75">
      <c r="A12" s="106"/>
      <c r="B12" s="36"/>
      <c r="C12" s="109"/>
      <c r="E12" s="231"/>
      <c r="F12" s="231"/>
      <c r="G12" s="230"/>
      <c r="H12" s="231"/>
      <c r="I12" s="231"/>
      <c r="J12" s="231"/>
      <c r="K12" s="212"/>
    </row>
    <row r="13" spans="1:18" ht="22.8" thickBot="1" x14ac:dyDescent="0.8">
      <c r="A13" s="106"/>
      <c r="B13" s="204" t="s">
        <v>159</v>
      </c>
      <c r="C13" s="109"/>
      <c r="D13" s="71"/>
      <c r="E13" s="231"/>
      <c r="F13" s="231"/>
      <c r="G13" s="230"/>
      <c r="H13" s="231"/>
      <c r="I13" s="231"/>
      <c r="J13" s="231"/>
      <c r="K13" s="212"/>
    </row>
    <row r="14" spans="1:18" ht="22.5" x14ac:dyDescent="0.75">
      <c r="A14" s="106"/>
      <c r="B14" s="205"/>
      <c r="C14" s="210" t="s">
        <v>181</v>
      </c>
      <c r="D14" s="210" t="s">
        <v>182</v>
      </c>
      <c r="E14" s="210" t="s">
        <v>178</v>
      </c>
      <c r="F14" s="211" t="s">
        <v>179</v>
      </c>
      <c r="G14" s="230"/>
      <c r="H14" s="231"/>
      <c r="I14" s="231"/>
      <c r="J14" s="231"/>
      <c r="K14" s="212"/>
    </row>
    <row r="15" spans="1:18" ht="22.8" thickBot="1" x14ac:dyDescent="0.8">
      <c r="A15" s="106"/>
      <c r="B15" s="207" t="s">
        <v>153</v>
      </c>
      <c r="C15" s="289">
        <v>225</v>
      </c>
      <c r="D15" s="289">
        <v>350</v>
      </c>
      <c r="E15" s="323">
        <f>+C15/200</f>
        <v>1.125</v>
      </c>
      <c r="F15" s="324">
        <f>+D15/200</f>
        <v>1.75</v>
      </c>
      <c r="G15" s="230"/>
      <c r="H15" s="231"/>
      <c r="I15" s="231"/>
      <c r="J15" s="231"/>
      <c r="K15" s="212"/>
    </row>
    <row r="16" spans="1:18" ht="25.2" x14ac:dyDescent="0.85">
      <c r="A16" s="106"/>
      <c r="B16" s="287" t="s">
        <v>77</v>
      </c>
      <c r="C16" s="209">
        <f>+C8/225</f>
        <v>800</v>
      </c>
      <c r="D16" s="209">
        <f>+C8/350</f>
        <v>514.28571428571433</v>
      </c>
      <c r="E16" s="288">
        <f>+C16*0.305*0.305</f>
        <v>74.42</v>
      </c>
      <c r="F16" s="288">
        <f>+D16*0.305*0.305</f>
        <v>47.841428571428573</v>
      </c>
      <c r="G16" s="212"/>
      <c r="H16" s="232"/>
      <c r="I16" s="233"/>
      <c r="J16" s="233"/>
      <c r="K16" s="212"/>
    </row>
    <row r="17" spans="1:11" ht="25.2" x14ac:dyDescent="0.85">
      <c r="A17" s="106"/>
      <c r="B17" s="276" t="s">
        <v>149</v>
      </c>
      <c r="C17" s="198">
        <f>+C16/C11</f>
        <v>160</v>
      </c>
      <c r="D17" s="198">
        <f>+D16/C11</f>
        <v>102.85714285714286</v>
      </c>
      <c r="E17" s="279">
        <f>+C17*0.305</f>
        <v>48.8</v>
      </c>
      <c r="F17" s="279">
        <f>+D17*0.305</f>
        <v>31.371428571428574</v>
      </c>
      <c r="G17" s="212"/>
      <c r="H17" s="232"/>
      <c r="I17" s="233"/>
      <c r="J17" s="233"/>
      <c r="K17" s="212"/>
    </row>
    <row r="18" spans="1:11" ht="25.2" x14ac:dyDescent="0.85">
      <c r="A18" s="106"/>
      <c r="B18" s="276" t="s">
        <v>157</v>
      </c>
      <c r="C18" s="280">
        <f>0.0000007*C15^2+0.00005*C15</f>
        <v>4.66875E-2</v>
      </c>
      <c r="D18" s="280">
        <f>0.0000003*D15^2+0.00006*D15-0.0053</f>
        <v>5.2449999999999997E-2</v>
      </c>
      <c r="E18" s="281">
        <f>+C18*254</f>
        <v>11.858625</v>
      </c>
      <c r="F18" s="281">
        <f>+D18*254</f>
        <v>13.322299999999998</v>
      </c>
      <c r="G18" s="212"/>
      <c r="H18" s="232"/>
      <c r="I18" s="233"/>
      <c r="J18" s="233"/>
      <c r="K18" s="212"/>
    </row>
    <row r="19" spans="1:11" ht="22.2" x14ac:dyDescent="0.7">
      <c r="A19" s="106"/>
      <c r="B19" s="276" t="s">
        <v>78</v>
      </c>
      <c r="C19" s="199">
        <f>1.9378*C15^-0.1805</f>
        <v>0.72902094690896557</v>
      </c>
      <c r="D19" s="199">
        <f>-0.0000005*D15^2+0.00004*D15+0.7918</f>
        <v>0.74454999999999993</v>
      </c>
      <c r="E19" s="199">
        <f t="shared" ref="E19:F19" si="0">C19</f>
        <v>0.72902094690896557</v>
      </c>
      <c r="F19" s="199">
        <f t="shared" si="0"/>
        <v>0.74454999999999993</v>
      </c>
      <c r="G19" s="214"/>
      <c r="H19" s="215"/>
      <c r="I19" s="215"/>
      <c r="J19" s="215"/>
      <c r="K19" s="212"/>
    </row>
    <row r="20" spans="1:11" ht="22.2" x14ac:dyDescent="0.7">
      <c r="A20" s="106"/>
      <c r="B20" s="276" t="s">
        <v>160</v>
      </c>
      <c r="C20" s="202">
        <f>+C49</f>
        <v>74.854749375000011</v>
      </c>
      <c r="D20" s="202">
        <f>+C49</f>
        <v>74.854749375000011</v>
      </c>
      <c r="E20" s="282">
        <f>+(C20-32)*5/9</f>
        <v>23.808194097222227</v>
      </c>
      <c r="F20" s="282">
        <f>+(D20-32)*5/9</f>
        <v>23.808194097222227</v>
      </c>
      <c r="G20" s="214"/>
      <c r="H20" s="215"/>
      <c r="I20" s="215"/>
      <c r="J20" s="215"/>
      <c r="K20" s="212"/>
    </row>
    <row r="21" spans="1:11" ht="22.2" x14ac:dyDescent="0.7">
      <c r="A21" s="106"/>
      <c r="B21" s="276" t="s">
        <v>79</v>
      </c>
      <c r="C21" s="202">
        <f t="shared" ref="C21:D21" si="1">C42</f>
        <v>78.958795048188904</v>
      </c>
      <c r="D21" s="202">
        <f t="shared" si="1"/>
        <v>78.723603647156267</v>
      </c>
      <c r="E21" s="282">
        <f>+(C21-32)*5/9</f>
        <v>26.088219471216057</v>
      </c>
      <c r="F21" s="282">
        <f>+(D21-32)*5/9</f>
        <v>25.95755758175348</v>
      </c>
      <c r="G21" s="214"/>
      <c r="H21" s="215"/>
      <c r="I21" s="215"/>
      <c r="J21" s="215"/>
      <c r="K21" s="212"/>
    </row>
    <row r="22" spans="1:11" ht="22.2" x14ac:dyDescent="0.7">
      <c r="A22" s="106"/>
      <c r="B22" s="276" t="s">
        <v>80</v>
      </c>
      <c r="C22" s="197">
        <f>+C55</f>
        <v>84.23669722987664</v>
      </c>
      <c r="D22" s="197">
        <f>+D55</f>
        <v>85.065823428692951</v>
      </c>
      <c r="E22" s="197">
        <f t="shared" ref="E22:F22" si="2">C22</f>
        <v>84.23669722987664</v>
      </c>
      <c r="F22" s="197">
        <f t="shared" si="2"/>
        <v>85.065823428692951</v>
      </c>
      <c r="G22" s="214"/>
      <c r="H22" s="215"/>
      <c r="I22" s="215"/>
      <c r="J22" s="215"/>
      <c r="K22" s="212"/>
    </row>
    <row r="23" spans="1:11" ht="22.2" x14ac:dyDescent="0.7">
      <c r="A23" s="106"/>
      <c r="B23" s="276" t="s">
        <v>81</v>
      </c>
      <c r="C23" s="275">
        <f>+C65</f>
        <v>4.3838583072739983</v>
      </c>
      <c r="D23" s="275">
        <f>+D65</f>
        <v>4.4481664177606115</v>
      </c>
      <c r="E23" s="283">
        <f>+C23*3.8</f>
        <v>16.658661567641193</v>
      </c>
      <c r="F23" s="283">
        <f>+D23*3.8</f>
        <v>16.903032387490324</v>
      </c>
      <c r="G23" s="214"/>
      <c r="H23" s="215"/>
      <c r="I23" s="215"/>
      <c r="J23" s="215"/>
      <c r="K23" s="212"/>
    </row>
    <row r="24" spans="1:11" ht="22.5" x14ac:dyDescent="0.75">
      <c r="A24" s="106"/>
      <c r="B24" s="208"/>
      <c r="C24" s="201"/>
      <c r="D24" s="201"/>
      <c r="G24" s="214"/>
      <c r="H24" s="215"/>
      <c r="I24" s="215"/>
      <c r="J24" s="215"/>
      <c r="K24" s="212"/>
    </row>
    <row r="25" spans="1:11" ht="22.5" thickBot="1" x14ac:dyDescent="0.75">
      <c r="A25" s="106"/>
      <c r="B25" s="35" t="s">
        <v>161</v>
      </c>
      <c r="C25" s="111"/>
      <c r="D25" s="112"/>
      <c r="G25" s="214"/>
      <c r="H25" s="215"/>
      <c r="I25" s="215"/>
      <c r="J25" s="215"/>
      <c r="K25" s="212"/>
    </row>
    <row r="26" spans="1:11" ht="22.8" thickBot="1" x14ac:dyDescent="0.8">
      <c r="A26" s="106"/>
      <c r="B26" s="300"/>
      <c r="C26" s="301" t="s">
        <v>181</v>
      </c>
      <c r="D26" s="301" t="s">
        <v>182</v>
      </c>
      <c r="E26" s="301" t="s">
        <v>178</v>
      </c>
      <c r="F26" s="302" t="s">
        <v>179</v>
      </c>
      <c r="G26" s="214"/>
      <c r="H26" s="215"/>
      <c r="I26" s="215"/>
      <c r="J26" s="215"/>
      <c r="K26" s="212"/>
    </row>
    <row r="27" spans="1:11" ht="22.5" x14ac:dyDescent="0.75">
      <c r="A27" s="106"/>
      <c r="B27" s="205" t="s">
        <v>156</v>
      </c>
      <c r="C27" s="200">
        <v>6</v>
      </c>
      <c r="D27" s="200">
        <v>6</v>
      </c>
      <c r="E27" s="290">
        <f>+C27*0.305</f>
        <v>1.83</v>
      </c>
      <c r="F27" s="291">
        <f>+D27*0.305</f>
        <v>1.83</v>
      </c>
      <c r="G27" s="214"/>
      <c r="H27" s="215"/>
      <c r="I27" s="215"/>
      <c r="J27" s="215"/>
      <c r="K27" s="212"/>
    </row>
    <row r="28" spans="1:11" ht="22.5" x14ac:dyDescent="0.75">
      <c r="A28" s="106"/>
      <c r="B28" s="206" t="s">
        <v>155</v>
      </c>
      <c r="C28" s="284">
        <v>160</v>
      </c>
      <c r="D28" s="284">
        <v>103</v>
      </c>
      <c r="E28" s="279">
        <f>+C28*0.305</f>
        <v>48.8</v>
      </c>
      <c r="F28" s="292">
        <f>+D28*0.305</f>
        <v>31.414999999999999</v>
      </c>
      <c r="G28" s="214"/>
      <c r="H28" s="215"/>
      <c r="I28" s="215"/>
      <c r="J28" s="215"/>
      <c r="K28" s="212"/>
    </row>
    <row r="29" spans="1:11" ht="22.2" x14ac:dyDescent="0.7">
      <c r="A29" s="106"/>
      <c r="B29" s="206" t="s">
        <v>150</v>
      </c>
      <c r="C29" s="277">
        <f>+C27*C28</f>
        <v>960</v>
      </c>
      <c r="D29" s="277">
        <f>+D27*D28</f>
        <v>618</v>
      </c>
      <c r="E29" s="278">
        <f>+C29*0.305*0.305</f>
        <v>89.304000000000002</v>
      </c>
      <c r="F29" s="293">
        <f>+D29*0.305*0.305</f>
        <v>57.489450000000005</v>
      </c>
      <c r="G29" s="214"/>
      <c r="H29" s="215"/>
      <c r="I29" s="215"/>
      <c r="J29" s="215"/>
      <c r="K29" s="212"/>
    </row>
    <row r="30" spans="1:11" ht="22.2" x14ac:dyDescent="0.7">
      <c r="A30" s="106"/>
      <c r="B30" s="206" t="s">
        <v>151</v>
      </c>
      <c r="C30" s="196">
        <f>+E41</f>
        <v>187.5</v>
      </c>
      <c r="D30" s="196">
        <f>+F41</f>
        <v>291.26213592233012</v>
      </c>
      <c r="E30" s="325">
        <f>+C30/200</f>
        <v>0.9375</v>
      </c>
      <c r="F30" s="326">
        <f>+D30/200</f>
        <v>1.4563106796116505</v>
      </c>
      <c r="G30" s="214"/>
      <c r="H30" s="215"/>
      <c r="I30" s="215"/>
      <c r="J30" s="215"/>
      <c r="K30" s="212"/>
    </row>
    <row r="31" spans="1:11" ht="22.2" x14ac:dyDescent="0.7">
      <c r="A31" s="106"/>
      <c r="B31" s="206" t="s">
        <v>157</v>
      </c>
      <c r="C31" s="280">
        <f>0.0000007*C30^2+0.00005*C30</f>
        <v>3.3984374999999997E-2</v>
      </c>
      <c r="D31" s="280">
        <f>0.0000003*D30^2+0.00006*D30-0.0053</f>
        <v>3.7625817701951177E-2</v>
      </c>
      <c r="E31" s="281">
        <f>+C31*254</f>
        <v>8.6320312499999989</v>
      </c>
      <c r="F31" s="294">
        <f>+D31*254</f>
        <v>9.5569576962955995</v>
      </c>
      <c r="G31" s="214"/>
      <c r="H31" s="215"/>
      <c r="I31" s="215"/>
      <c r="J31" s="215"/>
      <c r="K31" s="212"/>
    </row>
    <row r="32" spans="1:11" ht="22.2" x14ac:dyDescent="0.7">
      <c r="A32" s="106"/>
      <c r="B32" s="206" t="s">
        <v>78</v>
      </c>
      <c r="C32" s="199">
        <f>1.9378*C30^-0.1805</f>
        <v>0.75341146012716864</v>
      </c>
      <c r="D32" s="199">
        <f>-0.0000005*D30^2+0.00004*D30+0.7918</f>
        <v>0.76103366952587415</v>
      </c>
      <c r="E32" s="199">
        <f t="shared" ref="E32:F32" si="3">C32</f>
        <v>0.75341146012716864</v>
      </c>
      <c r="F32" s="295">
        <f t="shared" si="3"/>
        <v>0.76103366952587415</v>
      </c>
      <c r="G32" s="214"/>
      <c r="H32" s="215"/>
      <c r="I32" s="215"/>
      <c r="J32" s="215"/>
      <c r="K32" s="212"/>
    </row>
    <row r="33" spans="1:11" ht="22.2" x14ac:dyDescent="0.7">
      <c r="A33" s="106"/>
      <c r="B33" s="206" t="s">
        <v>160</v>
      </c>
      <c r="C33" s="202">
        <f>+C49</f>
        <v>74.854749375000011</v>
      </c>
      <c r="D33" s="202">
        <f>+D49</f>
        <v>74.854749375000011</v>
      </c>
      <c r="E33" s="282">
        <f>+(C33-32)*5/9</f>
        <v>23.808194097222227</v>
      </c>
      <c r="F33" s="296">
        <f>+(D33-32)*5/9</f>
        <v>23.808194097222227</v>
      </c>
      <c r="G33" s="214"/>
      <c r="H33" s="215"/>
      <c r="I33" s="215"/>
      <c r="J33" s="215"/>
      <c r="K33" s="212"/>
    </row>
    <row r="34" spans="1:11" ht="22.2" x14ac:dyDescent="0.7">
      <c r="A34" s="106"/>
      <c r="B34" s="206" t="s">
        <v>79</v>
      </c>
      <c r="C34" s="202">
        <f>+E42</f>
        <v>78.589394612626847</v>
      </c>
      <c r="D34" s="202">
        <f>+F42</f>
        <v>78.473954340967225</v>
      </c>
      <c r="E34" s="282">
        <f>+(C34-32)*5/9</f>
        <v>25.882997007014914</v>
      </c>
      <c r="F34" s="296">
        <f>+(D34-32)*5/9</f>
        <v>25.818863522759571</v>
      </c>
      <c r="G34" s="214"/>
      <c r="H34" s="215"/>
      <c r="I34" s="215"/>
      <c r="J34" s="215"/>
      <c r="K34" s="212"/>
    </row>
    <row r="35" spans="1:11" ht="22.2" x14ac:dyDescent="0.7">
      <c r="A35" s="106"/>
      <c r="B35" s="206" t="s">
        <v>80</v>
      </c>
      <c r="C35" s="197">
        <f>+E55</f>
        <v>85.542767760499189</v>
      </c>
      <c r="D35" s="197">
        <f>+F55</f>
        <v>85.955246372367284</v>
      </c>
      <c r="E35" s="197">
        <f t="shared" ref="E35:F35" si="4">C35</f>
        <v>85.542767760499189</v>
      </c>
      <c r="F35" s="297">
        <f t="shared" si="4"/>
        <v>85.955246372367284</v>
      </c>
      <c r="G35" s="214"/>
      <c r="H35" s="215"/>
      <c r="I35" s="215"/>
      <c r="J35" s="215"/>
      <c r="K35" s="212"/>
    </row>
    <row r="36" spans="1:11" ht="22.5" thickBot="1" x14ac:dyDescent="0.75">
      <c r="A36" s="106"/>
      <c r="B36" s="207" t="s">
        <v>81</v>
      </c>
      <c r="C36" s="203">
        <f>+E65</f>
        <v>4.4848988038235165</v>
      </c>
      <c r="D36" s="203">
        <f>+F65</f>
        <v>4.5165150828944691</v>
      </c>
      <c r="E36" s="298">
        <f>+C36*3.8</f>
        <v>17.042615454529361</v>
      </c>
      <c r="F36" s="299">
        <f>+D36*3.8</f>
        <v>17.162757314998981</v>
      </c>
      <c r="G36" s="214"/>
      <c r="H36" s="215"/>
      <c r="I36" s="215"/>
      <c r="J36" s="215"/>
      <c r="K36" s="212"/>
    </row>
    <row r="37" spans="1:11" ht="22.2" x14ac:dyDescent="0.7">
      <c r="A37" s="106"/>
      <c r="B37" s="110"/>
      <c r="C37" s="195"/>
      <c r="D37" s="195"/>
      <c r="G37" s="214"/>
      <c r="H37" s="215"/>
      <c r="I37" s="215"/>
      <c r="J37" s="215"/>
      <c r="K37" s="212"/>
    </row>
    <row r="38" spans="1:11" ht="22.2" x14ac:dyDescent="0.7">
      <c r="A38" s="106"/>
      <c r="B38" s="241"/>
      <c r="C38" s="242"/>
      <c r="D38" s="242"/>
      <c r="E38" s="243"/>
      <c r="F38" s="244"/>
      <c r="G38" s="245"/>
      <c r="H38" s="246"/>
      <c r="I38" s="246"/>
      <c r="J38" s="246"/>
      <c r="K38" s="212"/>
    </row>
    <row r="39" spans="1:11" s="213" customFormat="1" ht="22.2" x14ac:dyDescent="0.7">
      <c r="A39" s="212"/>
      <c r="B39" s="256"/>
      <c r="C39" s="257"/>
      <c r="D39" s="257"/>
      <c r="F39" s="212"/>
      <c r="G39" s="214"/>
      <c r="H39" s="215"/>
      <c r="I39" s="215"/>
      <c r="J39" s="215"/>
      <c r="K39" s="212"/>
    </row>
    <row r="40" spans="1:11" s="213" customFormat="1" ht="22.2" x14ac:dyDescent="0.7">
      <c r="A40" s="212"/>
      <c r="B40" s="256" t="s">
        <v>154</v>
      </c>
      <c r="C40" s="257"/>
      <c r="D40" s="257"/>
      <c r="E40" s="258">
        <f>1.9378*E41^-0.1805</f>
        <v>0.75341146012716864</v>
      </c>
      <c r="F40" s="258">
        <f>-0.0000005*F41^2+0.00004*F41+0.7918</f>
        <v>0.76103366952587415</v>
      </c>
      <c r="G40" s="214"/>
      <c r="H40" s="215"/>
      <c r="I40" s="215"/>
      <c r="J40" s="215"/>
      <c r="K40" s="212"/>
    </row>
    <row r="41" spans="1:11" s="213" customFormat="1" ht="22.2" x14ac:dyDescent="0.7">
      <c r="A41" s="212"/>
      <c r="B41" s="256" t="s">
        <v>151</v>
      </c>
      <c r="C41" s="259">
        <f>+C15</f>
        <v>225</v>
      </c>
      <c r="D41" s="259">
        <f>+D15</f>
        <v>350</v>
      </c>
      <c r="E41" s="259">
        <f>+C8/C27/C28</f>
        <v>187.5</v>
      </c>
      <c r="F41" s="259">
        <f>+C8/D27/D28</f>
        <v>291.26213592233012</v>
      </c>
      <c r="G41" s="214"/>
      <c r="H41" s="215"/>
      <c r="I41" s="215"/>
      <c r="J41" s="215"/>
      <c r="K41" s="212"/>
    </row>
    <row r="42" spans="1:11" s="213" customFormat="1" ht="22.2" x14ac:dyDescent="0.7">
      <c r="A42" s="212"/>
      <c r="B42" s="256" t="s">
        <v>82</v>
      </c>
      <c r="C42" s="260">
        <f>+C9-(C9-C49)*C19</f>
        <v>78.958795048188904</v>
      </c>
      <c r="D42" s="260">
        <f>+C9-(C9-C49)*D19</f>
        <v>78.723603647156267</v>
      </c>
      <c r="E42" s="260">
        <f>+C9-(C9-C49)*E40</f>
        <v>78.589394612626847</v>
      </c>
      <c r="F42" s="260">
        <f>+C9-(C9-C49)*F40</f>
        <v>78.473954340967225</v>
      </c>
      <c r="G42" s="212"/>
      <c r="H42" s="230"/>
      <c r="I42" s="230"/>
      <c r="J42" s="230"/>
      <c r="K42" s="212"/>
    </row>
    <row r="43" spans="1:11" s="213" customFormat="1" ht="22.2" x14ac:dyDescent="0.7">
      <c r="A43" s="212"/>
      <c r="B43" s="256" t="s">
        <v>83</v>
      </c>
      <c r="C43" s="260">
        <f>+(C42-32)*0.555555555555556</f>
        <v>26.088219471216078</v>
      </c>
      <c r="D43" s="260">
        <f>+(D42-32)*0.555555555555556</f>
        <v>25.957557581753502</v>
      </c>
      <c r="E43" s="260">
        <f>+(E42-32)*0.555555555555556</f>
        <v>25.882997007014936</v>
      </c>
      <c r="F43" s="260">
        <f>+(F42-32)*0.555555555555556</f>
        <v>25.818863522759592</v>
      </c>
      <c r="G43" s="212"/>
      <c r="H43" s="230"/>
      <c r="I43" s="230"/>
      <c r="J43" s="230"/>
      <c r="K43" s="212"/>
    </row>
    <row r="44" spans="1:11" s="217" customFormat="1" ht="22.2" x14ac:dyDescent="0.7">
      <c r="A44" s="216"/>
      <c r="B44" s="261" t="s">
        <v>84</v>
      </c>
      <c r="C44" s="260">
        <f>+C9</f>
        <v>90</v>
      </c>
      <c r="D44" s="260">
        <f>+C9</f>
        <v>90</v>
      </c>
      <c r="E44" s="260">
        <f>+C44</f>
        <v>90</v>
      </c>
      <c r="F44" s="260">
        <f>+C44</f>
        <v>90</v>
      </c>
      <c r="G44" s="262"/>
      <c r="H44" s="263"/>
      <c r="I44" s="263"/>
      <c r="J44" s="263"/>
      <c r="K44" s="216"/>
    </row>
    <row r="45" spans="1:11" s="217" customFormat="1" ht="22.2" x14ac:dyDescent="0.7">
      <c r="A45" s="216"/>
      <c r="B45" s="261" t="s">
        <v>85</v>
      </c>
      <c r="C45" s="260">
        <f>+C10</f>
        <v>50</v>
      </c>
      <c r="D45" s="260">
        <f>+C10</f>
        <v>50</v>
      </c>
      <c r="E45" s="260">
        <f>+C45</f>
        <v>50</v>
      </c>
      <c r="F45" s="260">
        <f>+C45</f>
        <v>50</v>
      </c>
      <c r="G45" s="262"/>
      <c r="H45" s="263"/>
      <c r="I45" s="263"/>
      <c r="J45" s="263"/>
      <c r="K45" s="216"/>
    </row>
    <row r="46" spans="1:11" s="217" customFormat="1" ht="22.2" x14ac:dyDescent="0.7">
      <c r="A46" s="216"/>
      <c r="B46" s="261" t="s">
        <v>86</v>
      </c>
      <c r="C46" s="264">
        <f>+(C9-32)*5/9</f>
        <v>32.222222222222221</v>
      </c>
      <c r="D46" s="264">
        <f>+(C9-32)*5/9</f>
        <v>32.222222222222221</v>
      </c>
      <c r="E46" s="264">
        <f>+C46</f>
        <v>32.222222222222221</v>
      </c>
      <c r="F46" s="264">
        <f>+C46</f>
        <v>32.222222222222221</v>
      </c>
      <c r="G46" s="262"/>
      <c r="H46" s="263"/>
      <c r="I46" s="263"/>
      <c r="J46" s="263"/>
      <c r="K46" s="216"/>
    </row>
    <row r="47" spans="1:11" s="217" customFormat="1" ht="22.2" x14ac:dyDescent="0.7">
      <c r="A47" s="216"/>
      <c r="B47" s="261" t="s">
        <v>87</v>
      </c>
      <c r="C47" s="264">
        <f>+C10</f>
        <v>50</v>
      </c>
      <c r="D47" s="264">
        <f>+C10</f>
        <v>50</v>
      </c>
      <c r="E47" s="264">
        <f>+C47</f>
        <v>50</v>
      </c>
      <c r="F47" s="264">
        <f>+C47</f>
        <v>50</v>
      </c>
      <c r="G47" s="262"/>
      <c r="H47" s="263"/>
      <c r="I47" s="263"/>
      <c r="J47" s="263"/>
      <c r="K47" s="216"/>
    </row>
    <row r="48" spans="1:11" s="217" customFormat="1" ht="22.2" x14ac:dyDescent="0.7">
      <c r="A48" s="216"/>
      <c r="B48" s="261"/>
      <c r="C48" s="265"/>
      <c r="D48" s="264"/>
      <c r="E48" s="264"/>
      <c r="F48" s="264"/>
      <c r="G48" s="262"/>
      <c r="H48" s="263"/>
      <c r="I48" s="263"/>
      <c r="J48" s="263"/>
      <c r="K48" s="216"/>
    </row>
    <row r="49" spans="1:11" s="213" customFormat="1" ht="22.2" x14ac:dyDescent="0.7">
      <c r="A49" s="212"/>
      <c r="B49" s="256" t="s">
        <v>88</v>
      </c>
      <c r="C49" s="266">
        <f>(0.616232+0.4900493*(C47)/100-0.1300531*(C47/100)^2+0.0238085*(C47/100)^3)*C44</f>
        <v>74.854749375000011</v>
      </c>
      <c r="D49" s="266">
        <f>(0.616232+0.4900493*(D47)/100-0.1300531*(D47/100)^2+0.0238085*(D47/100)^3)*D44</f>
        <v>74.854749375000011</v>
      </c>
      <c r="E49" s="266">
        <f>(0.616232+0.4900493*(E47)/100-0.1300531*(E47/100)^2+0.0238085*(E47/100)^3)*E44</f>
        <v>74.854749375000011</v>
      </c>
      <c r="F49" s="266">
        <f>(0.616232+0.4900493*(F47)/100-0.1300531*(F47/100)^2+0.0238085*(F47/100)^3)*F44</f>
        <v>74.854749375000011</v>
      </c>
      <c r="G49" s="267"/>
      <c r="H49" s="267"/>
      <c r="I49" s="267"/>
      <c r="J49" s="267"/>
      <c r="K49" s="212"/>
    </row>
    <row r="50" spans="1:11" s="213" customFormat="1" ht="22.2" x14ac:dyDescent="0.7">
      <c r="A50" s="212"/>
      <c r="B50" s="256" t="s">
        <v>89</v>
      </c>
      <c r="C50" s="268">
        <f>+(C49-32)*0.555555555555556</f>
        <v>23.808194097222248</v>
      </c>
      <c r="D50" s="268">
        <f>+(D49-32)*0.555555555555556</f>
        <v>23.808194097222248</v>
      </c>
      <c r="E50" s="268">
        <f>+(E49-32)*0.555555555555556</f>
        <v>23.808194097222248</v>
      </c>
      <c r="F50" s="268">
        <f>+(F49-32)*0.555555555555556</f>
        <v>23.808194097222248</v>
      </c>
      <c r="G50" s="267"/>
      <c r="H50" s="267"/>
      <c r="I50" s="267"/>
      <c r="J50" s="267"/>
      <c r="K50" s="212"/>
    </row>
    <row r="51" spans="1:11" s="213" customFormat="1" ht="22.2" x14ac:dyDescent="0.7">
      <c r="A51" s="212"/>
      <c r="B51" s="256" t="s">
        <v>113</v>
      </c>
      <c r="C51" s="268">
        <f>6.11*10^(7.5*C50/(237.7+C50))</f>
        <v>29.434401463497</v>
      </c>
      <c r="D51" s="268">
        <f>6.11*10^(7.5*D50/(237.7+D50))</f>
        <v>29.434401463497</v>
      </c>
      <c r="E51" s="268">
        <f>6.11*10^(7.5*E50/(237.7+E50))</f>
        <v>29.434401463497</v>
      </c>
      <c r="F51" s="268">
        <f>6.11*10^(7.5*F50/(237.7+F50))</f>
        <v>29.434401463497</v>
      </c>
      <c r="G51" s="267"/>
      <c r="H51" s="267"/>
      <c r="I51" s="267"/>
      <c r="J51" s="267"/>
      <c r="K51" s="212"/>
    </row>
    <row r="52" spans="1:11" s="213" customFormat="1" ht="22.2" x14ac:dyDescent="0.7">
      <c r="A52" s="212"/>
      <c r="B52" s="256" t="s">
        <v>92</v>
      </c>
      <c r="C52" s="268">
        <f>6.11*10^(7.5*C43/(237.7+C43))</f>
        <v>33.711558453852255</v>
      </c>
      <c r="D52" s="268">
        <f>6.11*10^(7.5*D43/(237.7+D43))</f>
        <v>33.452579338685631</v>
      </c>
      <c r="E52" s="268">
        <f>6.11*10^(7.5*E43/(237.7+E43))</f>
        <v>33.305574582738444</v>
      </c>
      <c r="F52" s="268">
        <f>6.11*10^(7.5*F43/(237.7+F43))</f>
        <v>33.179578794558395</v>
      </c>
      <c r="G52" s="267"/>
      <c r="H52" s="267"/>
      <c r="I52" s="267"/>
      <c r="J52" s="267"/>
      <c r="K52" s="212"/>
    </row>
    <row r="53" spans="1:11" s="213" customFormat="1" ht="22.2" x14ac:dyDescent="0.7">
      <c r="A53" s="212"/>
      <c r="B53" s="256" t="s">
        <v>162</v>
      </c>
      <c r="C53" s="269">
        <f>+((+C43-C50)*1.005-2500*(C51/1013))/(-(C43-C50)*4.186-2500)</f>
        <v>2.8033073471119847E-2</v>
      </c>
      <c r="D53" s="269">
        <f>+((+D43-D50)*1.005-2500*(D51/1013))/(-(D43-D50)*4.186-2500)</f>
        <v>2.8091522282911882E-2</v>
      </c>
      <c r="E53" s="269">
        <f>+((+E43-E50)*1.005-2500*(E51/1013))/(-(E43-E50)*4.186-2500)</f>
        <v>2.8124886788363071E-2</v>
      </c>
      <c r="F53" s="269">
        <f>+((+F43-F50)*1.005-2500*(F51/1013))/(-(F43-F50)*4.186-2500)</f>
        <v>2.815359200214847E-2</v>
      </c>
      <c r="G53" s="267"/>
      <c r="H53" s="267"/>
      <c r="I53" s="267"/>
      <c r="J53" s="267"/>
      <c r="K53" s="212"/>
    </row>
    <row r="54" spans="1:11" s="213" customFormat="1" ht="22.2" x14ac:dyDescent="0.7">
      <c r="A54" s="212"/>
      <c r="B54" s="256" t="s">
        <v>163</v>
      </c>
      <c r="C54" s="270">
        <f>+C52/1013</f>
        <v>3.3278932333516538E-2</v>
      </c>
      <c r="D54" s="270">
        <f>+D52/1013</f>
        <v>3.3023276741051953E-2</v>
      </c>
      <c r="E54" s="270">
        <f>+E52/1013</f>
        <v>3.2878158521953055E-2</v>
      </c>
      <c r="F54" s="270">
        <f>+F52/1013</f>
        <v>3.2753779658991504E-2</v>
      </c>
      <c r="G54" s="267"/>
      <c r="H54" s="267"/>
      <c r="I54" s="267"/>
      <c r="J54" s="267"/>
      <c r="K54" s="212"/>
    </row>
    <row r="55" spans="1:11" s="213" customFormat="1" ht="22.2" x14ac:dyDescent="0.7">
      <c r="A55" s="212"/>
      <c r="B55" s="256" t="s">
        <v>164</v>
      </c>
      <c r="C55" s="268">
        <f>+C53/C54*100</f>
        <v>84.23669722987664</v>
      </c>
      <c r="D55" s="268">
        <f>+D53/D54*100</f>
        <v>85.065823428692951</v>
      </c>
      <c r="E55" s="268">
        <f>+E53/E54*100</f>
        <v>85.542767760499189</v>
      </c>
      <c r="F55" s="268">
        <f>+F53/F54*100</f>
        <v>85.955246372367284</v>
      </c>
      <c r="G55" s="267"/>
      <c r="H55" s="267"/>
      <c r="I55" s="267"/>
      <c r="J55" s="267"/>
      <c r="K55" s="212"/>
    </row>
    <row r="56" spans="1:11" s="213" customFormat="1" ht="22.2" x14ac:dyDescent="0.7">
      <c r="A56" s="212"/>
      <c r="B56" s="256" t="s">
        <v>165</v>
      </c>
      <c r="C56" s="268">
        <f>6.116441*10^(7.591386*C46/(C46+240.7263))</f>
        <v>48.15927754519285</v>
      </c>
      <c r="D56" s="268">
        <f>6.116441*10^(7.591386*D46/(D46+240.7263))</f>
        <v>48.15927754519285</v>
      </c>
      <c r="E56" s="268">
        <f>6.116441*10^(7.591386*E46/(E46+240.7263))</f>
        <v>48.15927754519285</v>
      </c>
      <c r="F56" s="268">
        <f>6.116441*10^(7.591386*F46/(F46+240.7263))</f>
        <v>48.15927754519285</v>
      </c>
      <c r="G56" s="267"/>
      <c r="H56" s="267"/>
      <c r="I56" s="267"/>
      <c r="J56" s="267"/>
      <c r="K56" s="212"/>
    </row>
    <row r="57" spans="1:11" s="213" customFormat="1" ht="22.2" x14ac:dyDescent="0.7">
      <c r="A57" s="212"/>
      <c r="B57" s="256" t="s">
        <v>166</v>
      </c>
      <c r="C57" s="268">
        <f>6.116441*10^(7.591386*C43/(C43+240.7263))</f>
        <v>33.787712216473679</v>
      </c>
      <c r="D57" s="268">
        <f>6.116441*10^(7.591386*D43/(D43+240.7263))</f>
        <v>33.527645334508613</v>
      </c>
      <c r="E57" s="268">
        <f>6.116441*10^(7.591386*E43/(E43+240.7263))</f>
        <v>33.380026168167497</v>
      </c>
      <c r="F57" s="268">
        <f>6.116441*10^(7.591386*F43/(F43+240.7263))</f>
        <v>33.253505534798528</v>
      </c>
      <c r="G57" s="267"/>
      <c r="H57" s="267"/>
      <c r="I57" s="267"/>
      <c r="J57" s="267"/>
      <c r="K57" s="212"/>
    </row>
    <row r="58" spans="1:11" s="213" customFormat="1" ht="22.2" x14ac:dyDescent="0.7">
      <c r="A58" s="212"/>
      <c r="B58" s="256" t="s">
        <v>90</v>
      </c>
      <c r="C58" s="268">
        <f>+C56*C47/100</f>
        <v>24.079638772596425</v>
      </c>
      <c r="D58" s="268">
        <f>+D56*D47/100</f>
        <v>24.079638772596425</v>
      </c>
      <c r="E58" s="268">
        <f>+E56*E47/100</f>
        <v>24.079638772596425</v>
      </c>
      <c r="F58" s="268">
        <f>+F56*F47/100</f>
        <v>24.079638772596425</v>
      </c>
      <c r="G58" s="267"/>
      <c r="H58" s="267"/>
      <c r="I58" s="267"/>
      <c r="J58" s="267"/>
      <c r="K58" s="212"/>
    </row>
    <row r="59" spans="1:11" s="213" customFormat="1" ht="22.2" x14ac:dyDescent="0.7">
      <c r="A59" s="212"/>
      <c r="B59" s="256" t="s">
        <v>91</v>
      </c>
      <c r="C59" s="268">
        <f>+C57*C55/100</f>
        <v>28.461652840692974</v>
      </c>
      <c r="D59" s="268">
        <f>+D57*D55/100</f>
        <v>28.520567580051505</v>
      </c>
      <c r="E59" s="268">
        <f>+E57*E55/100</f>
        <v>28.554198263429381</v>
      </c>
      <c r="F59" s="268">
        <f>+F57*F55/100</f>
        <v>28.583132609884863</v>
      </c>
      <c r="G59" s="267"/>
      <c r="H59" s="267"/>
      <c r="I59" s="267"/>
      <c r="J59" s="267"/>
      <c r="K59" s="212"/>
    </row>
    <row r="60" spans="1:11" s="213" customFormat="1" ht="22.2" x14ac:dyDescent="0.7">
      <c r="A60" s="212"/>
      <c r="B60" s="256" t="s">
        <v>168</v>
      </c>
      <c r="C60" s="268">
        <f>2.16679*C58/(C46+273)</f>
        <v>0.17094273187647174</v>
      </c>
      <c r="D60" s="268">
        <f>2.16679*D58/(D46+273)</f>
        <v>0.17094273187647174</v>
      </c>
      <c r="E60" s="268">
        <f>2.16679*E58/(E46+273)</f>
        <v>0.17094273187647174</v>
      </c>
      <c r="F60" s="268">
        <f>2.16679*F58/(F46+273)</f>
        <v>0.17094273187647174</v>
      </c>
      <c r="G60" s="267"/>
      <c r="H60" s="267"/>
      <c r="I60" s="267"/>
      <c r="J60" s="267"/>
      <c r="K60" s="212"/>
    </row>
    <row r="61" spans="1:11" s="213" customFormat="1" ht="22.2" x14ac:dyDescent="0.7">
      <c r="A61" s="212"/>
      <c r="B61" s="256" t="s">
        <v>167</v>
      </c>
      <c r="C61" s="268">
        <f>2.16679*C59/(C43+273)</f>
        <v>0.20619476376474344</v>
      </c>
      <c r="D61" s="268">
        <f>2.16679*D59/(D43+273)</f>
        <v>0.20671188621776315</v>
      </c>
      <c r="E61" s="268">
        <f>2.16679*E59/(E43+273)</f>
        <v>0.20700726329294675</v>
      </c>
      <c r="F61" s="268">
        <f>2.16679*F59/(F43+273)</f>
        <v>0.20726150008617256</v>
      </c>
      <c r="G61" s="267"/>
      <c r="H61" s="267"/>
      <c r="I61" s="267"/>
      <c r="J61" s="267"/>
      <c r="K61" s="212"/>
    </row>
    <row r="62" spans="1:11" s="213" customFormat="1" ht="22.2" x14ac:dyDescent="0.7">
      <c r="A62" s="212"/>
      <c r="B62" s="256" t="s">
        <v>169</v>
      </c>
      <c r="C62" s="269">
        <f t="shared" ref="C62:F63" si="5">+C60/454*35.3147</f>
        <v>1.3296897122022106E-2</v>
      </c>
      <c r="D62" s="269">
        <f t="shared" si="5"/>
        <v>1.3296897122022106E-2</v>
      </c>
      <c r="E62" s="269">
        <f t="shared" si="5"/>
        <v>1.3296897122022106E-2</v>
      </c>
      <c r="F62" s="269">
        <f t="shared" si="5"/>
        <v>1.3296897122022106E-2</v>
      </c>
      <c r="G62" s="267"/>
      <c r="H62" s="267"/>
      <c r="I62" s="267"/>
      <c r="J62" s="267"/>
      <c r="K62" s="212"/>
    </row>
    <row r="63" spans="1:11" s="213" customFormat="1" ht="22.2" x14ac:dyDescent="0.7">
      <c r="A63" s="212"/>
      <c r="B63" s="256" t="s">
        <v>170</v>
      </c>
      <c r="C63" s="269">
        <f t="shared" si="5"/>
        <v>1.6039000493221992E-2</v>
      </c>
      <c r="D63" s="269">
        <f t="shared" si="5"/>
        <v>1.6079225216331369E-2</v>
      </c>
      <c r="E63" s="269">
        <f t="shared" si="5"/>
        <v>1.6102201323813715E-2</v>
      </c>
      <c r="F63" s="269">
        <f t="shared" si="5"/>
        <v>1.6121977306372597E-2</v>
      </c>
      <c r="G63" s="267"/>
      <c r="H63" s="267"/>
      <c r="I63" s="267"/>
      <c r="J63" s="267"/>
      <c r="K63" s="212"/>
    </row>
    <row r="64" spans="1:11" s="213" customFormat="1" ht="22.2" x14ac:dyDescent="0.7">
      <c r="A64" s="212"/>
      <c r="B64" s="256" t="s">
        <v>93</v>
      </c>
      <c r="C64" s="271">
        <f>+C63-C62</f>
        <v>2.742103371199886E-3</v>
      </c>
      <c r="D64" s="271">
        <f>+D63-D62</f>
        <v>2.7823280943092624E-3</v>
      </c>
      <c r="E64" s="271">
        <f>+E63-E62</f>
        <v>2.8053042017916092E-3</v>
      </c>
      <c r="F64" s="271">
        <f>+F63-F62</f>
        <v>2.8250801843504904E-3</v>
      </c>
      <c r="G64" s="267"/>
      <c r="H64" s="267"/>
      <c r="I64" s="267"/>
      <c r="J64" s="267"/>
      <c r="K64" s="212"/>
    </row>
    <row r="65" spans="1:43" s="213" customFormat="1" ht="22.2" x14ac:dyDescent="0.7">
      <c r="A65" s="212"/>
      <c r="B65" s="256" t="s">
        <v>171</v>
      </c>
      <c r="C65" s="268">
        <f>+C8*C64/8.34/13.5</f>
        <v>4.3838583072739983</v>
      </c>
      <c r="D65" s="268">
        <f>+C8*D64/8.34/13.5</f>
        <v>4.4481664177606115</v>
      </c>
      <c r="E65" s="268">
        <f>+C8*E64/8.34/13.5</f>
        <v>4.4848988038235165</v>
      </c>
      <c r="F65" s="268">
        <f>+C8*F64/8.34/13.5</f>
        <v>4.5165150828944691</v>
      </c>
      <c r="G65" s="267"/>
      <c r="H65" s="267"/>
      <c r="I65" s="267"/>
      <c r="J65" s="267"/>
      <c r="K65" s="212"/>
    </row>
    <row r="66" spans="1:43" s="213" customFormat="1" ht="22.2" x14ac:dyDescent="0.7">
      <c r="A66" s="212"/>
      <c r="B66" s="256"/>
      <c r="C66" s="268"/>
      <c r="D66" s="268"/>
      <c r="E66" s="268"/>
      <c r="F66" s="268"/>
      <c r="G66" s="267"/>
      <c r="H66" s="267"/>
      <c r="I66" s="267"/>
      <c r="J66" s="267"/>
      <c r="K66" s="212"/>
    </row>
    <row r="67" spans="1:43" s="213" customFormat="1" ht="22.2" x14ac:dyDescent="0.7">
      <c r="A67" s="212"/>
      <c r="B67" s="256"/>
      <c r="C67" s="268"/>
      <c r="D67" s="268"/>
      <c r="E67" s="268"/>
      <c r="F67" s="268"/>
      <c r="G67" s="267"/>
      <c r="H67" s="267"/>
      <c r="I67" s="267"/>
      <c r="J67" s="267"/>
      <c r="K67" s="212"/>
    </row>
    <row r="68" spans="1:43" s="213" customFormat="1" ht="22.2" x14ac:dyDescent="0.7">
      <c r="A68" s="212"/>
      <c r="B68" s="256"/>
      <c r="C68" s="268"/>
      <c r="D68" s="268"/>
      <c r="E68" s="268"/>
      <c r="F68" s="268"/>
      <c r="G68" s="267"/>
      <c r="H68" s="267"/>
      <c r="I68" s="267"/>
      <c r="J68" s="267"/>
      <c r="K68" s="212"/>
    </row>
    <row r="69" spans="1:43" s="213" customFormat="1" ht="22.2" x14ac:dyDescent="0.7">
      <c r="A69" s="212"/>
      <c r="B69" s="256"/>
      <c r="C69" s="268"/>
      <c r="D69" s="268"/>
      <c r="E69" s="268"/>
      <c r="F69" s="268"/>
      <c r="G69" s="267"/>
      <c r="H69" s="267"/>
      <c r="I69" s="267"/>
      <c r="J69" s="267"/>
      <c r="K69" s="212"/>
    </row>
    <row r="70" spans="1:43" s="213" customFormat="1" ht="22.2" x14ac:dyDescent="0.7">
      <c r="A70" s="212"/>
      <c r="B70" s="256"/>
      <c r="C70" s="268"/>
      <c r="D70" s="268"/>
      <c r="E70" s="268"/>
      <c r="F70" s="268"/>
      <c r="G70" s="267"/>
      <c r="H70" s="267"/>
      <c r="I70" s="267"/>
      <c r="J70" s="267"/>
      <c r="K70" s="212"/>
    </row>
    <row r="71" spans="1:43" s="213" customFormat="1" ht="22.2" x14ac:dyDescent="0.7">
      <c r="A71" s="212"/>
      <c r="B71" s="256"/>
      <c r="C71" s="268"/>
      <c r="D71" s="268"/>
      <c r="E71" s="268"/>
      <c r="F71" s="268"/>
      <c r="G71" s="267"/>
      <c r="H71" s="267"/>
      <c r="I71" s="267"/>
      <c r="J71" s="267"/>
      <c r="K71" s="212"/>
    </row>
    <row r="72" spans="1:43" s="213" customFormat="1" ht="22.2" x14ac:dyDescent="0.7">
      <c r="A72" s="212"/>
      <c r="B72" s="256"/>
      <c r="C72" s="268"/>
      <c r="D72" s="268"/>
      <c r="E72" s="268"/>
      <c r="F72" s="268"/>
      <c r="G72" s="267"/>
      <c r="H72" s="267"/>
      <c r="I72" s="267"/>
      <c r="J72" s="267"/>
      <c r="K72" s="212"/>
    </row>
    <row r="73" spans="1:43" s="213" customFormat="1" ht="22.2" x14ac:dyDescent="0.7">
      <c r="A73" s="212"/>
      <c r="B73" s="256"/>
      <c r="C73" s="268"/>
      <c r="D73" s="268"/>
      <c r="E73" s="268"/>
      <c r="F73" s="268"/>
      <c r="G73" s="267"/>
      <c r="H73" s="267"/>
      <c r="I73" s="267"/>
      <c r="J73" s="267"/>
      <c r="K73" s="212"/>
    </row>
    <row r="74" spans="1:43" s="213" customFormat="1" ht="22.2" x14ac:dyDescent="0.7">
      <c r="A74" s="212"/>
      <c r="B74" s="256"/>
      <c r="C74" s="268"/>
      <c r="D74" s="268"/>
      <c r="E74" s="268"/>
      <c r="F74" s="268"/>
      <c r="G74" s="267"/>
      <c r="H74" s="267"/>
      <c r="I74" s="267"/>
      <c r="J74" s="267"/>
      <c r="K74" s="212"/>
    </row>
    <row r="75" spans="1:43" s="213" customFormat="1" ht="22.2" x14ac:dyDescent="0.7">
      <c r="A75" s="212"/>
      <c r="B75" s="256"/>
      <c r="C75" s="268"/>
      <c r="D75" s="268"/>
      <c r="E75" s="268"/>
      <c r="F75" s="268"/>
      <c r="G75" s="267"/>
      <c r="H75" s="267"/>
      <c r="I75" s="267"/>
      <c r="J75" s="267"/>
      <c r="K75" s="212"/>
    </row>
    <row r="76" spans="1:43" s="213" customFormat="1" ht="22.2" x14ac:dyDescent="0.7">
      <c r="A76" s="212"/>
      <c r="B76" s="256"/>
      <c r="C76" s="268"/>
      <c r="D76" s="268"/>
      <c r="E76" s="268"/>
      <c r="F76" s="268"/>
      <c r="G76" s="267"/>
      <c r="H76" s="267"/>
      <c r="I76" s="267"/>
      <c r="J76" s="267"/>
      <c r="K76" s="212"/>
    </row>
    <row r="77" spans="1:43" s="213" customFormat="1" ht="22.2" x14ac:dyDescent="0.7">
      <c r="A77" s="212"/>
      <c r="B77" s="256"/>
      <c r="C77" s="268"/>
      <c r="D77" s="268"/>
      <c r="E77" s="268"/>
      <c r="F77" s="268"/>
      <c r="G77" s="267"/>
      <c r="H77" s="267"/>
      <c r="I77" s="267"/>
      <c r="J77" s="267"/>
      <c r="K77" s="212"/>
    </row>
    <row r="78" spans="1:43" s="213" customFormat="1" ht="22.2" x14ac:dyDescent="0.7">
      <c r="A78" s="212"/>
      <c r="B78" s="241"/>
      <c r="C78" s="255"/>
      <c r="D78" s="248"/>
      <c r="E78" s="248"/>
      <c r="F78" s="248"/>
      <c r="G78" s="249"/>
      <c r="H78" s="249"/>
      <c r="I78" s="249"/>
      <c r="J78" s="249"/>
      <c r="K78" s="212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</row>
    <row r="79" spans="1:43" s="213" customFormat="1" ht="22.2" x14ac:dyDescent="0.7">
      <c r="A79" s="212"/>
      <c r="E79" s="248"/>
      <c r="F79" s="248"/>
      <c r="G79" s="249"/>
      <c r="H79" s="249"/>
      <c r="I79" s="249"/>
      <c r="J79" s="249"/>
      <c r="K79" s="212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</row>
    <row r="80" spans="1:43" s="213" customFormat="1" ht="22.2" x14ac:dyDescent="0.7">
      <c r="A80" s="212"/>
      <c r="E80" s="248"/>
      <c r="F80" s="248"/>
      <c r="G80" s="249"/>
      <c r="H80" s="249"/>
      <c r="I80" s="249"/>
      <c r="J80" s="249"/>
      <c r="K80" s="212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</row>
    <row r="81" spans="1:43" s="213" customFormat="1" ht="22.2" x14ac:dyDescent="0.7">
      <c r="A81" s="212"/>
      <c r="B81" s="241"/>
      <c r="C81" s="248"/>
      <c r="D81" s="248"/>
      <c r="E81" s="248"/>
      <c r="F81" s="248"/>
      <c r="G81" s="249"/>
      <c r="H81" s="249"/>
      <c r="I81" s="249"/>
      <c r="J81" s="249"/>
      <c r="K81" s="212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</row>
    <row r="82" spans="1:43" s="213" customFormat="1" ht="22.2" x14ac:dyDescent="0.7">
      <c r="A82" s="212"/>
      <c r="B82" s="241"/>
      <c r="C82" s="248"/>
      <c r="D82" s="248"/>
      <c r="E82" s="248"/>
      <c r="F82" s="248"/>
      <c r="G82" s="249"/>
      <c r="H82" s="249"/>
      <c r="I82" s="249"/>
      <c r="J82" s="249"/>
      <c r="K82" s="212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</row>
    <row r="83" spans="1:43" s="213" customFormat="1" ht="22.2" x14ac:dyDescent="0.7">
      <c r="A83" s="212"/>
      <c r="B83" s="241"/>
      <c r="C83" s="250"/>
      <c r="D83" s="250"/>
      <c r="E83" s="250"/>
      <c r="F83" s="250"/>
      <c r="G83" s="251"/>
      <c r="H83" s="251"/>
      <c r="I83" s="251"/>
      <c r="J83" s="251"/>
      <c r="K83" s="212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</row>
    <row r="84" spans="1:43" s="213" customFormat="1" ht="22.2" x14ac:dyDescent="0.7">
      <c r="A84" s="212"/>
      <c r="B84" s="241"/>
      <c r="C84" s="250"/>
      <c r="D84" s="250"/>
      <c r="E84" s="250"/>
      <c r="F84" s="250"/>
      <c r="G84" s="251"/>
      <c r="H84" s="251"/>
      <c r="I84" s="251"/>
      <c r="J84" s="251"/>
      <c r="K84" s="212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</row>
    <row r="85" spans="1:43" s="213" customFormat="1" ht="22.2" x14ac:dyDescent="0.7">
      <c r="A85" s="212"/>
      <c r="B85" s="241"/>
      <c r="C85" s="250"/>
      <c r="D85" s="250"/>
      <c r="E85" s="250"/>
      <c r="F85" s="250"/>
      <c r="G85" s="251"/>
      <c r="H85" s="251"/>
      <c r="I85" s="251"/>
      <c r="J85" s="251"/>
      <c r="K85" s="212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</row>
    <row r="86" spans="1:43" s="213" customFormat="1" ht="22.2" x14ac:dyDescent="0.7">
      <c r="A86" s="212"/>
      <c r="B86" s="241"/>
      <c r="C86" s="247"/>
      <c r="D86" s="247"/>
      <c r="E86" s="247"/>
      <c r="F86" s="247"/>
      <c r="G86" s="251"/>
      <c r="H86" s="251"/>
      <c r="I86" s="251"/>
      <c r="J86" s="251"/>
      <c r="K86" s="212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</row>
    <row r="87" spans="1:43" s="213" customFormat="1" ht="22.2" x14ac:dyDescent="0.7">
      <c r="A87" s="212"/>
      <c r="B87" s="241"/>
      <c r="C87" s="250"/>
      <c r="D87" s="250"/>
      <c r="E87" s="250"/>
      <c r="F87" s="250"/>
      <c r="G87" s="251"/>
      <c r="H87" s="251"/>
      <c r="I87" s="251"/>
      <c r="J87" s="251"/>
      <c r="K87" s="212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</row>
    <row r="88" spans="1:43" s="213" customFormat="1" ht="22.2" x14ac:dyDescent="0.7">
      <c r="A88" s="212"/>
      <c r="B88" s="241"/>
      <c r="C88" s="250"/>
      <c r="D88" s="250"/>
      <c r="E88" s="250"/>
      <c r="F88" s="250"/>
      <c r="G88" s="251"/>
      <c r="H88" s="251"/>
      <c r="I88" s="251"/>
      <c r="J88" s="251"/>
      <c r="K88" s="212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</row>
    <row r="89" spans="1:43" s="213" customFormat="1" ht="22.2" x14ac:dyDescent="0.7">
      <c r="A89" s="212"/>
      <c r="B89" s="241"/>
      <c r="C89" s="250"/>
      <c r="D89" s="251"/>
      <c r="E89" s="251"/>
      <c r="F89" s="251"/>
      <c r="G89" s="251"/>
      <c r="H89" s="251"/>
      <c r="I89" s="251"/>
      <c r="J89" s="251"/>
      <c r="K89" s="212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</row>
    <row r="90" spans="1:43" s="213" customFormat="1" ht="20.100000000000001" x14ac:dyDescent="0.7">
      <c r="A90" s="212"/>
      <c r="B90" s="241"/>
      <c r="C90" s="252"/>
      <c r="D90" s="252"/>
      <c r="E90" s="252"/>
      <c r="F90" s="252"/>
      <c r="G90" s="252"/>
      <c r="H90" s="252"/>
      <c r="I90" s="252"/>
      <c r="J90" s="252"/>
      <c r="K90" s="212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</row>
    <row r="91" spans="1:43" ht="20.100000000000001" x14ac:dyDescent="0.7">
      <c r="A91" s="106"/>
      <c r="B91" s="241"/>
      <c r="C91" s="253"/>
      <c r="D91" s="253"/>
      <c r="E91" s="253"/>
      <c r="F91" s="253"/>
      <c r="G91" s="253"/>
      <c r="H91" s="253"/>
      <c r="I91" s="253"/>
      <c r="J91" s="253"/>
      <c r="K91" s="212"/>
    </row>
    <row r="92" spans="1:43" ht="20.100000000000001" x14ac:dyDescent="0.7">
      <c r="A92" s="106"/>
      <c r="B92" s="241"/>
      <c r="C92" s="253"/>
      <c r="D92" s="253"/>
      <c r="E92" s="253"/>
      <c r="F92" s="253"/>
      <c r="G92" s="253"/>
      <c r="H92" s="253"/>
      <c r="I92" s="253"/>
      <c r="J92" s="253"/>
      <c r="K92" s="212"/>
    </row>
    <row r="93" spans="1:43" ht="20.100000000000001" x14ac:dyDescent="0.7">
      <c r="A93" s="106"/>
      <c r="B93" s="241"/>
      <c r="C93" s="252"/>
      <c r="D93" s="252"/>
      <c r="E93" s="252"/>
      <c r="F93" s="252"/>
      <c r="G93" s="252"/>
      <c r="H93" s="252"/>
      <c r="I93" s="252"/>
      <c r="J93" s="252"/>
      <c r="K93" s="212"/>
    </row>
    <row r="94" spans="1:43" ht="20.100000000000001" x14ac:dyDescent="0.7">
      <c r="A94" s="106"/>
      <c r="B94" s="241"/>
      <c r="C94" s="254"/>
      <c r="D94" s="254"/>
      <c r="E94" s="254"/>
      <c r="F94" s="254"/>
      <c r="G94" s="254"/>
      <c r="H94" s="254"/>
      <c r="I94" s="254"/>
      <c r="J94" s="254"/>
      <c r="K94" s="212"/>
    </row>
    <row r="95" spans="1:43" x14ac:dyDescent="0.65">
      <c r="A95" s="106"/>
      <c r="B95" s="244"/>
      <c r="C95" s="244"/>
      <c r="D95" s="244"/>
      <c r="E95" s="244"/>
      <c r="F95" s="244"/>
      <c r="G95" s="244"/>
      <c r="H95" s="244"/>
      <c r="I95" s="244"/>
      <c r="J95" s="244"/>
      <c r="K95" s="212"/>
    </row>
    <row r="96" spans="1:43" x14ac:dyDescent="0.65">
      <c r="A96" s="106"/>
      <c r="B96" s="106"/>
      <c r="C96" s="106"/>
      <c r="D96" s="106"/>
      <c r="E96" s="212"/>
      <c r="G96" s="212"/>
      <c r="H96" s="212"/>
      <c r="I96" s="212"/>
      <c r="K96" s="212"/>
    </row>
  </sheetData>
  <conditionalFormatting sqref="D8:D11">
    <cfRule type="expression" dxfId="3" priority="5">
      <formula>($C$5=0)=TRUE</formula>
    </cfRule>
  </conditionalFormatting>
  <conditionalFormatting sqref="F14:F36">
    <cfRule type="expression" dxfId="2" priority="4">
      <formula>($C$5=0)=TRUE</formula>
    </cfRule>
  </conditionalFormatting>
  <conditionalFormatting sqref="E14:E23">
    <cfRule type="expression" dxfId="1" priority="3">
      <formula>($C$5=0)=TRUE</formula>
    </cfRule>
  </conditionalFormatting>
  <conditionalFormatting sqref="E26:E36">
    <cfRule type="expression" dxfId="0" priority="1">
      <formula>($C$5=0)=TRUE</formula>
    </cfRule>
  </conditionalFormatting>
  <pageMargins left="0.75" right="0.75" top="1" bottom="1" header="0.5" footer="0.5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267"/>
  <sheetViews>
    <sheetView zoomScale="80" zoomScaleNormal="80" workbookViewId="0">
      <selection activeCell="A2" sqref="A2"/>
    </sheetView>
  </sheetViews>
  <sheetFormatPr defaultColWidth="8.88671875" defaultRowHeight="12.3" x14ac:dyDescent="0.4"/>
  <cols>
    <col min="1" max="7" width="8.88671875" style="114"/>
    <col min="8" max="8" width="9.33203125" style="114" bestFit="1" customWidth="1"/>
    <col min="9" max="9" width="8.88671875" style="114"/>
    <col min="10" max="10" width="13" style="114" customWidth="1"/>
    <col min="11" max="11" width="8.88671875" style="114"/>
    <col min="12" max="12" width="16" style="114" bestFit="1" customWidth="1"/>
    <col min="13" max="15" width="8.88671875" style="114"/>
    <col min="16" max="16" width="16.44140625" style="115" bestFit="1" customWidth="1"/>
    <col min="17" max="17" width="8.88671875" style="219"/>
    <col min="18" max="18" width="2.33203125" style="220" bestFit="1" customWidth="1"/>
    <col min="19" max="19" width="4.5546875" style="220" bestFit="1" customWidth="1"/>
    <col min="20" max="20" width="5" style="220" bestFit="1" customWidth="1"/>
    <col min="21" max="21" width="12.109375" style="220" bestFit="1" customWidth="1"/>
    <col min="22" max="22" width="16.33203125" style="234" customWidth="1"/>
    <col min="23" max="24" width="9.109375" style="234" customWidth="1"/>
    <col min="25" max="25" width="10.44140625" style="234" customWidth="1"/>
    <col min="26" max="27" width="21.6640625" style="234" customWidth="1"/>
    <col min="28" max="28" width="17.88671875" style="234" customWidth="1"/>
    <col min="29" max="29" width="14.109375" style="234" customWidth="1"/>
    <col min="30" max="30" width="21.5546875" style="234" customWidth="1"/>
    <col min="31" max="31" width="7.109375" style="234" customWidth="1"/>
    <col min="32" max="34" width="16" style="234" customWidth="1"/>
    <col min="35" max="38" width="21" style="234" customWidth="1"/>
    <col min="39" max="39" width="16" style="235" customWidth="1"/>
    <col min="40" max="40" width="16" style="234" customWidth="1"/>
    <col min="41" max="41" width="16" style="235" customWidth="1"/>
    <col min="42" max="42" width="16" style="234" customWidth="1"/>
    <col min="43" max="43" width="8.88671875" style="220"/>
    <col min="44" max="45" width="9.109375" style="236" customWidth="1"/>
    <col min="46" max="46" width="9.109375" style="218" customWidth="1"/>
    <col min="47" max="47" width="8.109375" style="218" customWidth="1"/>
    <col min="48" max="48" width="9.109375" style="123" hidden="1" customWidth="1"/>
    <col min="49" max="53" width="8.88671875" style="115"/>
    <col min="54" max="16384" width="8.88671875" style="114"/>
  </cols>
  <sheetData>
    <row r="1" spans="1:42" ht="32.700000000000003" x14ac:dyDescent="1.05">
      <c r="A1" s="113" t="s">
        <v>94</v>
      </c>
      <c r="S1" s="220" t="s">
        <v>95</v>
      </c>
      <c r="T1" s="220" t="s">
        <v>96</v>
      </c>
      <c r="V1" s="234" t="s">
        <v>97</v>
      </c>
      <c r="W1" s="234" t="s">
        <v>98</v>
      </c>
      <c r="X1" s="234" t="s">
        <v>99</v>
      </c>
      <c r="Y1" s="234" t="s">
        <v>87</v>
      </c>
      <c r="Z1" s="234" t="s">
        <v>100</v>
      </c>
      <c r="AA1" s="234" t="s">
        <v>101</v>
      </c>
      <c r="AB1" s="234" t="s">
        <v>102</v>
      </c>
      <c r="AC1" s="234" t="s">
        <v>103</v>
      </c>
      <c r="AD1" s="234" t="s">
        <v>104</v>
      </c>
      <c r="AE1" s="234" t="s">
        <v>105</v>
      </c>
      <c r="AF1" s="234" t="s">
        <v>106</v>
      </c>
      <c r="AG1" s="234" t="s">
        <v>107</v>
      </c>
      <c r="AH1" s="234" t="s">
        <v>108</v>
      </c>
      <c r="AI1" s="234" t="s">
        <v>109</v>
      </c>
      <c r="AJ1" s="234" t="s">
        <v>110</v>
      </c>
      <c r="AK1" s="234" t="s">
        <v>111</v>
      </c>
      <c r="AM1" s="235" t="s">
        <v>112</v>
      </c>
      <c r="AN1" s="234" t="s">
        <v>113</v>
      </c>
      <c r="AO1" s="235" t="s">
        <v>114</v>
      </c>
      <c r="AP1" s="234" t="s">
        <v>115</v>
      </c>
    </row>
    <row r="2" spans="1:42" ht="20.100000000000001" x14ac:dyDescent="0.7">
      <c r="A2" s="116" t="s">
        <v>1</v>
      </c>
    </row>
    <row r="3" spans="1:42" ht="20.100000000000001" x14ac:dyDescent="0.7">
      <c r="A3" s="117" t="s">
        <v>116</v>
      </c>
      <c r="W3" s="234">
        <v>76</v>
      </c>
      <c r="Y3" s="234">
        <v>90</v>
      </c>
    </row>
    <row r="4" spans="1:42" ht="22.5" x14ac:dyDescent="0.75">
      <c r="A4" s="118"/>
      <c r="B4" s="118"/>
      <c r="D4" s="118"/>
      <c r="E4" s="119" t="s">
        <v>117</v>
      </c>
      <c r="H4" s="120">
        <v>100</v>
      </c>
      <c r="J4" s="121" t="s">
        <v>118</v>
      </c>
      <c r="L4" s="122">
        <f>+AF267</f>
        <v>84.821292775665398</v>
      </c>
      <c r="N4" s="121" t="s">
        <v>119</v>
      </c>
      <c r="P4" s="122">
        <f>+AK267</f>
        <v>71.870722433460074</v>
      </c>
      <c r="R4" s="220">
        <v>7</v>
      </c>
      <c r="S4" s="220">
        <v>21</v>
      </c>
      <c r="T4" s="220">
        <v>1</v>
      </c>
      <c r="U4" s="220">
        <f t="shared" ref="U4:U67" si="0">+(W4-32)*5/9</f>
        <v>35</v>
      </c>
      <c r="V4" s="237">
        <f>35632+0.0416666666666667</f>
        <v>35632.041666666664</v>
      </c>
      <c r="W4" s="234">
        <v>95</v>
      </c>
      <c r="X4" s="234">
        <f t="shared" ref="X4:X67" si="1">+(W4-32)*5/9</f>
        <v>35</v>
      </c>
      <c r="Y4" s="234">
        <v>60</v>
      </c>
      <c r="Z4" s="238">
        <f t="shared" ref="Z4:Z67" si="2">(X4*ATAN(0.151977*(Y4+8.313659)^0.5)+ATAN(X4+Y4)-ATAN(Y4-1.676331)+0.00391838*(Y4)^1.5*ATAN(0.023101*Y4)-4.686035)*9/5+32</f>
        <v>83.278920243043643</v>
      </c>
      <c r="AA4" s="238">
        <f t="shared" ref="AA4:AA67" si="3">+(Z4-32)*0.555555555555556</f>
        <v>28.488289023913158</v>
      </c>
      <c r="AB4" s="239">
        <f t="shared" ref="AB4:AB67" si="4">-(W4-Z4)*0.75+W4</f>
        <v>86.209190182282725</v>
      </c>
      <c r="AC4" s="239">
        <f t="shared" ref="AC4:AC67" si="5">+(AB4-32)*0.555555555555556</f>
        <v>30.116216767934873</v>
      </c>
      <c r="AD4" s="239">
        <f>+IF(W4&gt;=$H$4,AB4,W4)</f>
        <v>95</v>
      </c>
      <c r="AE4" s="239" t="b">
        <f>+AND(AD4&lt;W4,$H$4&gt;=AD4)</f>
        <v>0</v>
      </c>
      <c r="AF4" s="239">
        <f t="shared" ref="AF4:AF13" si="6">+IF(AE4="TRUE",$H$4,AD4)</f>
        <v>95</v>
      </c>
      <c r="AG4" s="239">
        <f t="shared" ref="AG4:AG67" si="7">+(AF4-32)*5/9</f>
        <v>35</v>
      </c>
      <c r="AH4" s="239">
        <f t="shared" ref="AH4:AH67" si="8">+$H$4</f>
        <v>100</v>
      </c>
      <c r="AI4" s="238">
        <f>+AM4/AO4*100</f>
        <v>67.827859514158177</v>
      </c>
      <c r="AJ4" s="238">
        <f>+Y4</f>
        <v>60</v>
      </c>
      <c r="AK4" s="238">
        <f>+IF(W4&gt;=AH4,AI4,AJ4)</f>
        <v>60</v>
      </c>
      <c r="AL4" s="238"/>
      <c r="AM4" s="240">
        <f>+((AC4-AA4)*1.005-2500*(AN4/1013))/(-(AC4-AA4)*4.186-2500)</f>
        <v>3.7534975479368668E-2</v>
      </c>
      <c r="AN4" s="238">
        <f>6.11*10^(7.5*AA4/(237.7+AA4))</f>
        <v>38.789507651324413</v>
      </c>
      <c r="AO4" s="240">
        <f>+AP4/1013</f>
        <v>5.5338581739460213E-2</v>
      </c>
      <c r="AP4" s="238">
        <f>6.11*10^(7.5*AG4/(237.7+AG4))</f>
        <v>56.057983302073197</v>
      </c>
    </row>
    <row r="5" spans="1:42" ht="22.2" x14ac:dyDescent="0.7">
      <c r="A5" s="118"/>
      <c r="B5" s="118"/>
      <c r="C5" s="118"/>
      <c r="D5" s="118"/>
      <c r="G5" s="114" t="s">
        <v>120</v>
      </c>
      <c r="R5" s="220">
        <v>7</v>
      </c>
      <c r="S5" s="220">
        <v>21</v>
      </c>
      <c r="T5" s="220">
        <v>2</v>
      </c>
      <c r="U5" s="220">
        <f t="shared" si="0"/>
        <v>25</v>
      </c>
      <c r="V5" s="237">
        <f t="shared" ref="V5:V68" si="9">+V4+1/24</f>
        <v>35632.083333333328</v>
      </c>
      <c r="W5" s="234">
        <v>77</v>
      </c>
      <c r="X5" s="234">
        <f t="shared" si="1"/>
        <v>25</v>
      </c>
      <c r="Y5" s="234">
        <v>85</v>
      </c>
      <c r="Z5" s="238">
        <f t="shared" si="2"/>
        <v>73.426181483865832</v>
      </c>
      <c r="AA5" s="238">
        <f t="shared" si="3"/>
        <v>23.01454526881437</v>
      </c>
      <c r="AB5" s="239">
        <f t="shared" si="4"/>
        <v>74.319636112899374</v>
      </c>
      <c r="AC5" s="239">
        <f t="shared" si="5"/>
        <v>23.510908951610784</v>
      </c>
      <c r="AD5" s="239">
        <f t="shared" ref="AD5:AD68" si="10">+IF(W5&gt;=$H$4,AB5,W5)</f>
        <v>77</v>
      </c>
      <c r="AE5" s="239" t="b">
        <f t="shared" ref="AE5:AE68" si="11">+AND(AD5&lt;W5,$H$4&gt;=AD5)</f>
        <v>0</v>
      </c>
      <c r="AF5" s="239">
        <f t="shared" si="6"/>
        <v>77</v>
      </c>
      <c r="AG5" s="239">
        <f t="shared" si="7"/>
        <v>25</v>
      </c>
      <c r="AH5" s="239">
        <f t="shared" si="8"/>
        <v>100</v>
      </c>
      <c r="AI5" s="238">
        <f t="shared" ref="AI5:AI68" si="12">+AM5/AO5*100</f>
        <v>88.068218308223308</v>
      </c>
      <c r="AJ5" s="238">
        <f t="shared" ref="AJ5:AJ68" si="13">+Y5</f>
        <v>85</v>
      </c>
      <c r="AK5" s="238">
        <f t="shared" ref="AK5:AK68" si="14">+IF(W5&gt;=AH5,AI5,AJ5)</f>
        <v>85</v>
      </c>
      <c r="AL5" s="238"/>
      <c r="AM5" s="240">
        <f t="shared" ref="AM5:AM68" si="15">+((AC5-AA5)*1.005-2500*(AN5/1013))/(-(AC5-AA5)*4.186-2500)</f>
        <v>2.7478491420280114E-2</v>
      </c>
      <c r="AN5" s="238">
        <f t="shared" ref="AN5:AN68" si="16">6.11*10^(7.5*AA5/(237.7+AA5))</f>
        <v>28.060978581866991</v>
      </c>
      <c r="AO5" s="240">
        <f t="shared" ref="AO5:AO68" si="17">+AP5/1013</f>
        <v>3.1201370878323226E-2</v>
      </c>
      <c r="AP5" s="238">
        <f t="shared" ref="AP5:AP68" si="18">6.11*10^(7.5*AG5/(237.7+AG5))</f>
        <v>31.606988699741429</v>
      </c>
    </row>
    <row r="6" spans="1:42" ht="22.2" x14ac:dyDescent="0.7">
      <c r="A6" s="118"/>
      <c r="B6" s="118"/>
      <c r="C6" s="118"/>
      <c r="D6" s="118"/>
      <c r="G6" s="114" t="s">
        <v>120</v>
      </c>
      <c r="R6" s="220">
        <v>7</v>
      </c>
      <c r="S6" s="220">
        <v>21</v>
      </c>
      <c r="T6" s="220">
        <v>3</v>
      </c>
      <c r="U6" s="220">
        <f t="shared" si="0"/>
        <v>23.888888888888889</v>
      </c>
      <c r="V6" s="237">
        <f t="shared" si="9"/>
        <v>35632.124999999993</v>
      </c>
      <c r="W6" s="234">
        <v>75</v>
      </c>
      <c r="X6" s="234">
        <f t="shared" si="1"/>
        <v>23.888888888888889</v>
      </c>
      <c r="Y6" s="234">
        <v>90</v>
      </c>
      <c r="Z6" s="238">
        <f t="shared" si="2"/>
        <v>72.680469769698121</v>
      </c>
      <c r="AA6" s="238">
        <f t="shared" si="3"/>
        <v>22.60026098316564</v>
      </c>
      <c r="AB6" s="239">
        <f t="shared" si="4"/>
        <v>73.260352327273594</v>
      </c>
      <c r="AC6" s="239">
        <f t="shared" si="5"/>
        <v>22.922417959596462</v>
      </c>
      <c r="AD6" s="239">
        <f t="shared" si="10"/>
        <v>75</v>
      </c>
      <c r="AE6" s="239" t="b">
        <f t="shared" si="11"/>
        <v>0</v>
      </c>
      <c r="AF6" s="239">
        <f t="shared" si="6"/>
        <v>75</v>
      </c>
      <c r="AG6" s="239">
        <f t="shared" si="7"/>
        <v>23.888888888888889</v>
      </c>
      <c r="AH6" s="239">
        <f t="shared" si="8"/>
        <v>100</v>
      </c>
      <c r="AI6" s="238">
        <f t="shared" si="12"/>
        <v>92.032344221390048</v>
      </c>
      <c r="AJ6" s="238">
        <f t="shared" si="13"/>
        <v>90</v>
      </c>
      <c r="AK6" s="238">
        <f t="shared" si="14"/>
        <v>90</v>
      </c>
      <c r="AL6" s="238"/>
      <c r="AM6" s="240">
        <f t="shared" si="15"/>
        <v>2.6871332926722405E-2</v>
      </c>
      <c r="AN6" s="238">
        <f t="shared" si="16"/>
        <v>27.366534310445367</v>
      </c>
      <c r="AO6" s="240">
        <f t="shared" si="17"/>
        <v>2.9197705604544408E-2</v>
      </c>
      <c r="AP6" s="238">
        <f t="shared" si="18"/>
        <v>29.577275777403486</v>
      </c>
    </row>
    <row r="7" spans="1:42" ht="22.2" x14ac:dyDescent="0.7">
      <c r="A7" s="118"/>
      <c r="B7" s="118"/>
      <c r="C7" s="118"/>
      <c r="D7" s="118"/>
      <c r="G7" s="114" t="s">
        <v>120</v>
      </c>
      <c r="R7" s="220">
        <v>7</v>
      </c>
      <c r="S7" s="220">
        <v>21</v>
      </c>
      <c r="T7" s="220">
        <v>4</v>
      </c>
      <c r="U7" s="220">
        <f t="shared" si="0"/>
        <v>24.444444444444443</v>
      </c>
      <c r="V7" s="237">
        <f t="shared" si="9"/>
        <v>35632.166666666657</v>
      </c>
      <c r="W7" s="234">
        <v>76</v>
      </c>
      <c r="X7" s="234">
        <f t="shared" si="1"/>
        <v>24.444444444444443</v>
      </c>
      <c r="Y7" s="234">
        <v>87</v>
      </c>
      <c r="Z7" s="238">
        <f t="shared" si="2"/>
        <v>72.938966056258423</v>
      </c>
      <c r="AA7" s="238">
        <f t="shared" si="3"/>
        <v>22.743870031254698</v>
      </c>
      <c r="AB7" s="239">
        <f t="shared" si="4"/>
        <v>73.704224542193813</v>
      </c>
      <c r="AC7" s="239">
        <f t="shared" si="5"/>
        <v>23.169013634552137</v>
      </c>
      <c r="AD7" s="239">
        <f t="shared" si="10"/>
        <v>76</v>
      </c>
      <c r="AE7" s="239" t="b">
        <f t="shared" si="11"/>
        <v>0</v>
      </c>
      <c r="AF7" s="239">
        <f t="shared" si="6"/>
        <v>76</v>
      </c>
      <c r="AG7" s="239">
        <f t="shared" si="7"/>
        <v>24.444444444444443</v>
      </c>
      <c r="AH7" s="239">
        <f t="shared" si="8"/>
        <v>100</v>
      </c>
      <c r="AI7" s="238">
        <f t="shared" si="12"/>
        <v>89.65071066046157</v>
      </c>
      <c r="AJ7" s="238">
        <f t="shared" si="13"/>
        <v>87</v>
      </c>
      <c r="AK7" s="238">
        <f t="shared" si="14"/>
        <v>87</v>
      </c>
      <c r="AL7" s="238"/>
      <c r="AM7" s="240">
        <f t="shared" si="15"/>
        <v>2.7061102177623478E-2</v>
      </c>
      <c r="AN7" s="238">
        <f t="shared" si="16"/>
        <v>27.605540191753995</v>
      </c>
      <c r="AO7" s="240">
        <f t="shared" si="17"/>
        <v>3.0185039224187846E-2</v>
      </c>
      <c r="AP7" s="238">
        <f t="shared" si="18"/>
        <v>30.577444734102286</v>
      </c>
    </row>
    <row r="8" spans="1:42" ht="22.2" x14ac:dyDescent="0.7">
      <c r="A8" s="118"/>
      <c r="B8" s="118"/>
      <c r="C8" s="118"/>
      <c r="D8" s="118"/>
      <c r="G8" s="114" t="s">
        <v>120</v>
      </c>
      <c r="R8" s="220">
        <v>7</v>
      </c>
      <c r="S8" s="220">
        <v>21</v>
      </c>
      <c r="T8" s="220">
        <v>5</v>
      </c>
      <c r="U8" s="220">
        <f t="shared" si="0"/>
        <v>24.444444444444443</v>
      </c>
      <c r="V8" s="237">
        <f t="shared" si="9"/>
        <v>35632.208333333321</v>
      </c>
      <c r="W8" s="234">
        <v>76</v>
      </c>
      <c r="X8" s="234">
        <f t="shared" si="1"/>
        <v>24.444444444444443</v>
      </c>
      <c r="Y8" s="234">
        <v>87</v>
      </c>
      <c r="Z8" s="238">
        <f t="shared" si="2"/>
        <v>72.938966056258423</v>
      </c>
      <c r="AA8" s="238">
        <f t="shared" si="3"/>
        <v>22.743870031254698</v>
      </c>
      <c r="AB8" s="239">
        <f t="shared" si="4"/>
        <v>73.704224542193813</v>
      </c>
      <c r="AC8" s="239">
        <f t="shared" si="5"/>
        <v>23.169013634552137</v>
      </c>
      <c r="AD8" s="239">
        <f t="shared" si="10"/>
        <v>76</v>
      </c>
      <c r="AE8" s="239" t="b">
        <f t="shared" si="11"/>
        <v>0</v>
      </c>
      <c r="AF8" s="239">
        <f t="shared" si="6"/>
        <v>76</v>
      </c>
      <c r="AG8" s="239">
        <f t="shared" si="7"/>
        <v>24.444444444444443</v>
      </c>
      <c r="AH8" s="239">
        <f t="shared" si="8"/>
        <v>100</v>
      </c>
      <c r="AI8" s="238">
        <f t="shared" si="12"/>
        <v>89.65071066046157</v>
      </c>
      <c r="AJ8" s="238">
        <f t="shared" si="13"/>
        <v>87</v>
      </c>
      <c r="AK8" s="238">
        <f t="shared" si="14"/>
        <v>87</v>
      </c>
      <c r="AL8" s="238"/>
      <c r="AM8" s="240">
        <f t="shared" si="15"/>
        <v>2.7061102177623478E-2</v>
      </c>
      <c r="AN8" s="238">
        <f t="shared" si="16"/>
        <v>27.605540191753995</v>
      </c>
      <c r="AO8" s="240">
        <f t="shared" si="17"/>
        <v>3.0185039224187846E-2</v>
      </c>
      <c r="AP8" s="238">
        <f t="shared" si="18"/>
        <v>30.577444734102286</v>
      </c>
    </row>
    <row r="9" spans="1:42" ht="22.2" x14ac:dyDescent="0.7">
      <c r="A9" s="118"/>
      <c r="B9" s="118"/>
      <c r="C9" s="118"/>
      <c r="D9" s="118"/>
      <c r="G9" s="114" t="s">
        <v>120</v>
      </c>
      <c r="R9" s="220">
        <v>7</v>
      </c>
      <c r="S9" s="220">
        <v>21</v>
      </c>
      <c r="T9" s="220">
        <v>6</v>
      </c>
      <c r="U9" s="220">
        <f t="shared" si="0"/>
        <v>24.444444444444443</v>
      </c>
      <c r="V9" s="237">
        <f t="shared" si="9"/>
        <v>35632.249999999985</v>
      </c>
      <c r="W9" s="234">
        <v>76</v>
      </c>
      <c r="X9" s="234">
        <f t="shared" si="1"/>
        <v>24.444444444444443</v>
      </c>
      <c r="Y9" s="234">
        <v>90</v>
      </c>
      <c r="Z9" s="238">
        <f t="shared" si="2"/>
        <v>73.665456930368649</v>
      </c>
      <c r="AA9" s="238">
        <f t="shared" si="3"/>
        <v>23.147476072427047</v>
      </c>
      <c r="AB9" s="239">
        <f t="shared" si="4"/>
        <v>74.24909269777649</v>
      </c>
      <c r="AC9" s="239">
        <f t="shared" si="5"/>
        <v>23.471718165431405</v>
      </c>
      <c r="AD9" s="239">
        <f t="shared" si="10"/>
        <v>76</v>
      </c>
      <c r="AE9" s="239" t="b">
        <f t="shared" si="11"/>
        <v>0</v>
      </c>
      <c r="AF9" s="239">
        <f t="shared" si="6"/>
        <v>76</v>
      </c>
      <c r="AG9" s="239">
        <f t="shared" si="7"/>
        <v>24.444444444444443</v>
      </c>
      <c r="AH9" s="239">
        <f t="shared" si="8"/>
        <v>100</v>
      </c>
      <c r="AI9" s="238">
        <f t="shared" si="12"/>
        <v>92.027711714467671</v>
      </c>
      <c r="AJ9" s="238">
        <f t="shared" si="13"/>
        <v>90</v>
      </c>
      <c r="AK9" s="238">
        <f t="shared" si="14"/>
        <v>90</v>
      </c>
      <c r="AL9" s="238"/>
      <c r="AM9" s="240">
        <f t="shared" si="15"/>
        <v>2.7778600878134579E-2</v>
      </c>
      <c r="AN9" s="238">
        <f t="shared" si="16"/>
        <v>28.287039863990454</v>
      </c>
      <c r="AO9" s="240">
        <f t="shared" si="17"/>
        <v>3.0185039224187846E-2</v>
      </c>
      <c r="AP9" s="238">
        <f t="shared" si="18"/>
        <v>30.577444734102286</v>
      </c>
    </row>
    <row r="10" spans="1:42" ht="22.2" x14ac:dyDescent="0.7">
      <c r="A10" s="118"/>
      <c r="B10" s="118"/>
      <c r="C10" s="118"/>
      <c r="D10" s="118"/>
      <c r="G10" s="114" t="s">
        <v>120</v>
      </c>
      <c r="R10" s="220">
        <v>7</v>
      </c>
      <c r="S10" s="220">
        <v>21</v>
      </c>
      <c r="T10" s="220">
        <v>7</v>
      </c>
      <c r="U10" s="220">
        <f t="shared" si="0"/>
        <v>26.111111111111111</v>
      </c>
      <c r="V10" s="237">
        <f t="shared" si="9"/>
        <v>35632.29166666665</v>
      </c>
      <c r="W10" s="234">
        <v>79</v>
      </c>
      <c r="X10" s="234">
        <f t="shared" si="1"/>
        <v>26.111111111111111</v>
      </c>
      <c r="Y10" s="234">
        <v>85</v>
      </c>
      <c r="Z10" s="238">
        <f t="shared" si="2"/>
        <v>75.371998039037152</v>
      </c>
      <c r="AA10" s="238">
        <f t="shared" si="3"/>
        <v>24.095554466131773</v>
      </c>
      <c r="AB10" s="239">
        <f t="shared" si="4"/>
        <v>76.278998529277857</v>
      </c>
      <c r="AC10" s="239">
        <f t="shared" si="5"/>
        <v>24.599443627376608</v>
      </c>
      <c r="AD10" s="239">
        <f t="shared" si="10"/>
        <v>79</v>
      </c>
      <c r="AE10" s="239" t="b">
        <f t="shared" si="11"/>
        <v>0</v>
      </c>
      <c r="AF10" s="239">
        <f t="shared" si="6"/>
        <v>79</v>
      </c>
      <c r="AG10" s="239">
        <f t="shared" si="7"/>
        <v>26.111111111111111</v>
      </c>
      <c r="AH10" s="239">
        <f t="shared" si="8"/>
        <v>100</v>
      </c>
      <c r="AI10" s="238">
        <f t="shared" si="12"/>
        <v>88.027921110303993</v>
      </c>
      <c r="AJ10" s="238">
        <f t="shared" si="13"/>
        <v>85</v>
      </c>
      <c r="AK10" s="238">
        <f t="shared" si="14"/>
        <v>85</v>
      </c>
      <c r="AL10" s="238"/>
      <c r="AM10" s="240">
        <f t="shared" si="15"/>
        <v>2.9334336115130078E-2</v>
      </c>
      <c r="AN10" s="238">
        <f t="shared" si="16"/>
        <v>29.945950730448679</v>
      </c>
      <c r="AO10" s="240">
        <f t="shared" si="17"/>
        <v>3.3323899673119044E-2</v>
      </c>
      <c r="AP10" s="238">
        <f t="shared" si="18"/>
        <v>33.75711036886959</v>
      </c>
    </row>
    <row r="11" spans="1:42" ht="22.2" x14ac:dyDescent="0.7">
      <c r="A11" s="118"/>
      <c r="B11" s="118"/>
      <c r="C11" s="118"/>
      <c r="D11" s="118"/>
      <c r="G11" s="114" t="s">
        <v>120</v>
      </c>
      <c r="R11" s="220">
        <v>7</v>
      </c>
      <c r="S11" s="220">
        <v>21</v>
      </c>
      <c r="T11" s="220">
        <v>8</v>
      </c>
      <c r="U11" s="220">
        <f t="shared" si="0"/>
        <v>27.777777777777779</v>
      </c>
      <c r="V11" s="237">
        <f t="shared" si="9"/>
        <v>35632.333333333314</v>
      </c>
      <c r="W11" s="234">
        <v>82</v>
      </c>
      <c r="X11" s="234">
        <f t="shared" si="1"/>
        <v>27.777777777777779</v>
      </c>
      <c r="Y11" s="234">
        <v>77</v>
      </c>
      <c r="Z11" s="238">
        <f t="shared" si="2"/>
        <v>76.207345256455596</v>
      </c>
      <c r="AA11" s="238">
        <f t="shared" si="3"/>
        <v>24.559636253586461</v>
      </c>
      <c r="AB11" s="239">
        <f t="shared" si="4"/>
        <v>77.655508942341697</v>
      </c>
      <c r="AC11" s="239">
        <f t="shared" si="5"/>
        <v>25.364171634634296</v>
      </c>
      <c r="AD11" s="239">
        <f t="shared" si="10"/>
        <v>82</v>
      </c>
      <c r="AE11" s="239" t="b">
        <f t="shared" si="11"/>
        <v>0</v>
      </c>
      <c r="AF11" s="239">
        <f t="shared" si="6"/>
        <v>82</v>
      </c>
      <c r="AG11" s="239">
        <f t="shared" si="7"/>
        <v>27.777777777777779</v>
      </c>
      <c r="AH11" s="239">
        <f t="shared" si="8"/>
        <v>100</v>
      </c>
      <c r="AI11" s="238">
        <f t="shared" si="12"/>
        <v>81.727364050381766</v>
      </c>
      <c r="AJ11" s="238">
        <f t="shared" si="13"/>
        <v>77</v>
      </c>
      <c r="AK11" s="238">
        <f t="shared" si="14"/>
        <v>77</v>
      </c>
      <c r="AL11" s="238"/>
      <c r="AM11" s="240">
        <f t="shared" si="15"/>
        <v>3.0029488022190593E-2</v>
      </c>
      <c r="AN11" s="238">
        <f t="shared" si="16"/>
        <v>30.788478127436079</v>
      </c>
      <c r="AO11" s="240">
        <f t="shared" si="17"/>
        <v>3.6743492673614889E-2</v>
      </c>
      <c r="AP11" s="238">
        <f t="shared" si="18"/>
        <v>37.221158078371879</v>
      </c>
    </row>
    <row r="12" spans="1:42" ht="22.2" x14ac:dyDescent="0.7">
      <c r="A12" s="118"/>
      <c r="B12" s="118"/>
      <c r="C12" s="118"/>
      <c r="D12" s="118"/>
      <c r="G12" s="114" t="s">
        <v>120</v>
      </c>
      <c r="R12" s="220">
        <v>7</v>
      </c>
      <c r="S12" s="220">
        <v>21</v>
      </c>
      <c r="T12" s="220">
        <v>9</v>
      </c>
      <c r="U12" s="220">
        <f t="shared" si="0"/>
        <v>30</v>
      </c>
      <c r="V12" s="237">
        <f t="shared" si="9"/>
        <v>35632.374999999978</v>
      </c>
      <c r="W12" s="234">
        <v>86</v>
      </c>
      <c r="X12" s="234">
        <f t="shared" si="1"/>
        <v>30</v>
      </c>
      <c r="Y12" s="234">
        <v>68</v>
      </c>
      <c r="Z12" s="238">
        <f t="shared" si="2"/>
        <v>77.507198144745146</v>
      </c>
      <c r="AA12" s="238">
        <f t="shared" si="3"/>
        <v>25.281776747080659</v>
      </c>
      <c r="AB12" s="239">
        <f t="shared" si="4"/>
        <v>79.630398608558863</v>
      </c>
      <c r="AC12" s="239">
        <f t="shared" si="5"/>
        <v>26.461332560310503</v>
      </c>
      <c r="AD12" s="239">
        <f t="shared" si="10"/>
        <v>86</v>
      </c>
      <c r="AE12" s="239" t="b">
        <f t="shared" si="11"/>
        <v>0</v>
      </c>
      <c r="AF12" s="239">
        <f t="shared" si="6"/>
        <v>86</v>
      </c>
      <c r="AG12" s="239">
        <f t="shared" si="7"/>
        <v>30</v>
      </c>
      <c r="AH12" s="239">
        <f t="shared" si="8"/>
        <v>100</v>
      </c>
      <c r="AI12" s="238">
        <f t="shared" si="12"/>
        <v>74.666123114242296</v>
      </c>
      <c r="AJ12" s="238">
        <f t="shared" si="13"/>
        <v>68</v>
      </c>
      <c r="AK12" s="238">
        <f t="shared" si="14"/>
        <v>68</v>
      </c>
      <c r="AL12" s="238"/>
      <c r="AM12" s="240">
        <f t="shared" si="15"/>
        <v>3.1192375922867832E-2</v>
      </c>
      <c r="AN12" s="238">
        <f t="shared" si="16"/>
        <v>32.140629936876515</v>
      </c>
      <c r="AO12" s="240">
        <f t="shared" si="17"/>
        <v>4.177580758430726E-2</v>
      </c>
      <c r="AP12" s="238">
        <f t="shared" si="18"/>
        <v>42.318893082903251</v>
      </c>
    </row>
    <row r="13" spans="1:42" ht="22.2" x14ac:dyDescent="0.7">
      <c r="A13" s="118"/>
      <c r="B13" s="118"/>
      <c r="C13" s="118"/>
      <c r="D13" s="118"/>
      <c r="G13" s="114" t="s">
        <v>120</v>
      </c>
      <c r="R13" s="220">
        <v>7</v>
      </c>
      <c r="S13" s="220">
        <v>21</v>
      </c>
      <c r="T13" s="220">
        <v>10</v>
      </c>
      <c r="U13" s="220">
        <f t="shared" si="0"/>
        <v>31.111111111111111</v>
      </c>
      <c r="V13" s="237">
        <f t="shared" si="9"/>
        <v>35632.416666666642</v>
      </c>
      <c r="W13" s="234">
        <v>88</v>
      </c>
      <c r="X13" s="234">
        <f t="shared" si="1"/>
        <v>31.111111111111111</v>
      </c>
      <c r="Y13" s="234">
        <v>65</v>
      </c>
      <c r="Z13" s="238">
        <f t="shared" si="2"/>
        <v>78.481401981303009</v>
      </c>
      <c r="AA13" s="238">
        <f t="shared" si="3"/>
        <v>25.823001100723914</v>
      </c>
      <c r="AB13" s="239">
        <f t="shared" si="4"/>
        <v>80.861051485977256</v>
      </c>
      <c r="AC13" s="239">
        <f t="shared" si="5"/>
        <v>27.145028603320721</v>
      </c>
      <c r="AD13" s="239">
        <f t="shared" si="10"/>
        <v>88</v>
      </c>
      <c r="AE13" s="239" t="b">
        <f t="shared" si="11"/>
        <v>0</v>
      </c>
      <c r="AF13" s="239">
        <f t="shared" si="6"/>
        <v>88</v>
      </c>
      <c r="AG13" s="239">
        <f t="shared" si="7"/>
        <v>31.111111111111111</v>
      </c>
      <c r="AH13" s="239">
        <f t="shared" si="8"/>
        <v>100</v>
      </c>
      <c r="AI13" s="238">
        <f t="shared" si="12"/>
        <v>72.25253799747243</v>
      </c>
      <c r="AJ13" s="238">
        <f t="shared" si="13"/>
        <v>65</v>
      </c>
      <c r="AK13" s="238">
        <f t="shared" si="14"/>
        <v>65</v>
      </c>
      <c r="AL13" s="238"/>
      <c r="AM13" s="240">
        <f t="shared" si="15"/>
        <v>3.2159148939513577E-2</v>
      </c>
      <c r="AN13" s="238">
        <f t="shared" si="16"/>
        <v>33.187694869845863</v>
      </c>
      <c r="AO13" s="240">
        <f t="shared" si="17"/>
        <v>4.4509369263455605E-2</v>
      </c>
      <c r="AP13" s="238">
        <f t="shared" si="18"/>
        <v>45.08799106388053</v>
      </c>
    </row>
    <row r="14" spans="1:42" ht="22.2" x14ac:dyDescent="0.7">
      <c r="A14" s="118"/>
      <c r="B14" s="118"/>
      <c r="C14" s="118"/>
      <c r="D14" s="118"/>
      <c r="G14" s="114" t="s">
        <v>120</v>
      </c>
      <c r="R14" s="220">
        <v>7</v>
      </c>
      <c r="S14" s="220">
        <v>21</v>
      </c>
      <c r="T14" s="220">
        <v>11</v>
      </c>
      <c r="U14" s="220">
        <f t="shared" si="0"/>
        <v>32.777777777777779</v>
      </c>
      <c r="V14" s="237">
        <f t="shared" si="9"/>
        <v>35632.458333333307</v>
      </c>
      <c r="W14" s="234">
        <v>91</v>
      </c>
      <c r="X14" s="234">
        <f t="shared" si="1"/>
        <v>32.777777777777779</v>
      </c>
      <c r="Y14" s="234">
        <v>62</v>
      </c>
      <c r="Z14" s="238">
        <f t="shared" si="2"/>
        <v>80.307808745367055</v>
      </c>
      <c r="AA14" s="238">
        <f t="shared" si="3"/>
        <v>26.837671525203941</v>
      </c>
      <c r="AB14" s="239">
        <f t="shared" si="4"/>
        <v>82.980856559025284</v>
      </c>
      <c r="AC14" s="239">
        <f t="shared" si="5"/>
        <v>28.322698088347405</v>
      </c>
      <c r="AD14" s="239">
        <f t="shared" si="10"/>
        <v>91</v>
      </c>
      <c r="AE14" s="239" t="b">
        <f t="shared" si="11"/>
        <v>0</v>
      </c>
      <c r="AF14" s="239">
        <f t="shared" ref="AF14:AF77" si="19">+IF(AE14=TRUE,$H$4,AD14)</f>
        <v>91</v>
      </c>
      <c r="AG14" s="239">
        <f t="shared" si="7"/>
        <v>32.777777777777779</v>
      </c>
      <c r="AH14" s="239">
        <f t="shared" si="8"/>
        <v>100</v>
      </c>
      <c r="AI14" s="238">
        <f t="shared" si="12"/>
        <v>69.726963987443497</v>
      </c>
      <c r="AJ14" s="238">
        <f t="shared" si="13"/>
        <v>62</v>
      </c>
      <c r="AK14" s="238">
        <f t="shared" si="14"/>
        <v>62</v>
      </c>
      <c r="AL14" s="238"/>
      <c r="AM14" s="240">
        <f t="shared" si="15"/>
        <v>3.4097146214952363E-2</v>
      </c>
      <c r="AN14" s="238">
        <f t="shared" si="16"/>
        <v>35.23103625383424</v>
      </c>
      <c r="AO14" s="240">
        <f t="shared" si="17"/>
        <v>4.8900947732490714E-2</v>
      </c>
      <c r="AP14" s="238">
        <f t="shared" si="18"/>
        <v>49.536660053013094</v>
      </c>
    </row>
    <row r="15" spans="1:42" ht="22.2" x14ac:dyDescent="0.7">
      <c r="A15" s="118"/>
      <c r="B15" s="118"/>
      <c r="C15" s="118"/>
      <c r="D15" s="118"/>
      <c r="G15" s="114" t="s">
        <v>120</v>
      </c>
      <c r="R15" s="220">
        <v>7</v>
      </c>
      <c r="S15" s="220">
        <v>21</v>
      </c>
      <c r="T15" s="220">
        <v>12</v>
      </c>
      <c r="U15" s="220">
        <f t="shared" si="0"/>
        <v>33.333333333333336</v>
      </c>
      <c r="V15" s="237">
        <f t="shared" si="9"/>
        <v>35632.499999999971</v>
      </c>
      <c r="W15" s="234">
        <v>92</v>
      </c>
      <c r="X15" s="234">
        <f t="shared" si="1"/>
        <v>33.333333333333336</v>
      </c>
      <c r="Y15" s="234">
        <v>60</v>
      </c>
      <c r="Z15" s="238">
        <f t="shared" si="2"/>
        <v>80.583270524501287</v>
      </c>
      <c r="AA15" s="238">
        <f t="shared" si="3"/>
        <v>26.990705846945183</v>
      </c>
      <c r="AB15" s="239">
        <f t="shared" si="4"/>
        <v>83.437452893375962</v>
      </c>
      <c r="AC15" s="239">
        <f t="shared" si="5"/>
        <v>28.576362718542224</v>
      </c>
      <c r="AD15" s="239">
        <f t="shared" si="10"/>
        <v>92</v>
      </c>
      <c r="AE15" s="239" t="b">
        <f t="shared" si="11"/>
        <v>0</v>
      </c>
      <c r="AF15" s="239">
        <f t="shared" si="19"/>
        <v>92</v>
      </c>
      <c r="AG15" s="239">
        <f t="shared" si="7"/>
        <v>33.333333333333336</v>
      </c>
      <c r="AH15" s="239">
        <f t="shared" si="8"/>
        <v>100</v>
      </c>
      <c r="AI15" s="238">
        <f t="shared" si="12"/>
        <v>68.119578009918868</v>
      </c>
      <c r="AJ15" s="238">
        <f t="shared" si="13"/>
        <v>60</v>
      </c>
      <c r="AK15" s="238">
        <f t="shared" si="14"/>
        <v>60</v>
      </c>
      <c r="AL15" s="238"/>
      <c r="AM15" s="240">
        <f t="shared" si="15"/>
        <v>3.4363665512910237E-2</v>
      </c>
      <c r="AN15" s="238">
        <f t="shared" si="16"/>
        <v>35.548536294400961</v>
      </c>
      <c r="AO15" s="240">
        <f t="shared" si="17"/>
        <v>5.0446092763385228E-2</v>
      </c>
      <c r="AP15" s="238">
        <f t="shared" si="18"/>
        <v>51.101891969309236</v>
      </c>
    </row>
    <row r="16" spans="1:42" ht="22.2" x14ac:dyDescent="0.7">
      <c r="A16" s="118"/>
      <c r="B16" s="118"/>
      <c r="C16" s="118"/>
      <c r="D16" s="118"/>
      <c r="G16" s="114" t="s">
        <v>120</v>
      </c>
      <c r="R16" s="220">
        <v>7</v>
      </c>
      <c r="S16" s="220">
        <v>21</v>
      </c>
      <c r="T16" s="220">
        <v>13</v>
      </c>
      <c r="U16" s="220">
        <f t="shared" si="0"/>
        <v>33.888888888888886</v>
      </c>
      <c r="V16" s="237">
        <f t="shared" si="9"/>
        <v>35632.541666666635</v>
      </c>
      <c r="W16" s="234">
        <v>93</v>
      </c>
      <c r="X16" s="234">
        <f t="shared" si="1"/>
        <v>33.888888888888886</v>
      </c>
      <c r="Y16" s="234">
        <v>54</v>
      </c>
      <c r="Z16" s="238">
        <f t="shared" si="2"/>
        <v>79.515958963418925</v>
      </c>
      <c r="AA16" s="238">
        <f t="shared" si="3"/>
        <v>26.397754979677202</v>
      </c>
      <c r="AB16" s="239">
        <f t="shared" si="4"/>
        <v>82.88696922256419</v>
      </c>
      <c r="AC16" s="239">
        <f t="shared" si="5"/>
        <v>28.27053845698013</v>
      </c>
      <c r="AD16" s="239">
        <f t="shared" si="10"/>
        <v>93</v>
      </c>
      <c r="AE16" s="239" t="b">
        <f t="shared" si="11"/>
        <v>0</v>
      </c>
      <c r="AF16" s="239">
        <f t="shared" si="19"/>
        <v>93</v>
      </c>
      <c r="AG16" s="239">
        <f t="shared" si="7"/>
        <v>33.888888888888886</v>
      </c>
      <c r="AH16" s="239">
        <f t="shared" si="8"/>
        <v>100</v>
      </c>
      <c r="AI16" s="238">
        <f t="shared" si="12"/>
        <v>63.488059027097151</v>
      </c>
      <c r="AJ16" s="238">
        <f t="shared" si="13"/>
        <v>54</v>
      </c>
      <c r="AK16" s="238">
        <f t="shared" si="14"/>
        <v>54</v>
      </c>
      <c r="AL16" s="238"/>
      <c r="AM16" s="240">
        <f t="shared" si="15"/>
        <v>3.3035019660947511E-2</v>
      </c>
      <c r="AN16" s="238">
        <f t="shared" si="16"/>
        <v>34.332058561636593</v>
      </c>
      <c r="AO16" s="240">
        <f t="shared" si="17"/>
        <v>5.2033437731728312E-2</v>
      </c>
      <c r="AP16" s="238">
        <f t="shared" si="18"/>
        <v>52.709872422240778</v>
      </c>
    </row>
    <row r="17" spans="1:42" ht="22.2" x14ac:dyDescent="0.7">
      <c r="A17" s="118"/>
      <c r="B17" s="118"/>
      <c r="C17" s="118"/>
      <c r="D17" s="118"/>
      <c r="G17" s="114" t="s">
        <v>120</v>
      </c>
      <c r="R17" s="220">
        <v>7</v>
      </c>
      <c r="S17" s="220">
        <v>21</v>
      </c>
      <c r="T17" s="220">
        <v>14</v>
      </c>
      <c r="U17" s="220">
        <f t="shared" si="0"/>
        <v>34.444444444444443</v>
      </c>
      <c r="V17" s="237">
        <f t="shared" si="9"/>
        <v>35632.583333333299</v>
      </c>
      <c r="W17" s="234">
        <v>94</v>
      </c>
      <c r="X17" s="234">
        <f t="shared" si="1"/>
        <v>34.444444444444443</v>
      </c>
      <c r="Y17" s="234">
        <v>52</v>
      </c>
      <c r="Z17" s="238">
        <f t="shared" si="2"/>
        <v>79.708054283864229</v>
      </c>
      <c r="AA17" s="238">
        <f t="shared" si="3"/>
        <v>26.504474602146818</v>
      </c>
      <c r="AB17" s="239">
        <f t="shared" si="4"/>
        <v>83.281040712898175</v>
      </c>
      <c r="AC17" s="239">
        <f t="shared" si="5"/>
        <v>28.489467062721232</v>
      </c>
      <c r="AD17" s="239">
        <f t="shared" si="10"/>
        <v>94</v>
      </c>
      <c r="AE17" s="239" t="b">
        <f t="shared" si="11"/>
        <v>0</v>
      </c>
      <c r="AF17" s="239">
        <f t="shared" si="19"/>
        <v>94</v>
      </c>
      <c r="AG17" s="239">
        <f t="shared" si="7"/>
        <v>34.444444444444443</v>
      </c>
      <c r="AH17" s="239">
        <f t="shared" si="8"/>
        <v>100</v>
      </c>
      <c r="AI17" s="238">
        <f t="shared" si="12"/>
        <v>61.860196057960856</v>
      </c>
      <c r="AJ17" s="238">
        <f t="shared" si="13"/>
        <v>52</v>
      </c>
      <c r="AK17" s="238">
        <f t="shared" si="14"/>
        <v>52</v>
      </c>
      <c r="AL17" s="238"/>
      <c r="AM17" s="240">
        <f t="shared" si="15"/>
        <v>3.3196619710273462E-2</v>
      </c>
      <c r="AN17" s="238">
        <f t="shared" si="16"/>
        <v>34.548285311478651</v>
      </c>
      <c r="AO17" s="240">
        <f t="shared" si="17"/>
        <v>5.3663941962242376E-2</v>
      </c>
      <c r="AP17" s="238">
        <f t="shared" si="18"/>
        <v>54.361573207751526</v>
      </c>
    </row>
    <row r="18" spans="1:42" ht="22.2" x14ac:dyDescent="0.7">
      <c r="A18" s="118"/>
      <c r="B18" s="118"/>
      <c r="C18" s="118"/>
      <c r="D18" s="118"/>
      <c r="G18" s="114" t="s">
        <v>120</v>
      </c>
      <c r="R18" s="220">
        <v>7</v>
      </c>
      <c r="S18" s="220">
        <v>21</v>
      </c>
      <c r="T18" s="220">
        <v>15</v>
      </c>
      <c r="U18" s="220">
        <f t="shared" si="0"/>
        <v>34.444444444444443</v>
      </c>
      <c r="V18" s="237">
        <f t="shared" si="9"/>
        <v>35632.624999999964</v>
      </c>
      <c r="W18" s="234">
        <v>94</v>
      </c>
      <c r="X18" s="234">
        <f t="shared" si="1"/>
        <v>34.444444444444443</v>
      </c>
      <c r="Y18" s="234">
        <v>52</v>
      </c>
      <c r="Z18" s="238">
        <f t="shared" si="2"/>
        <v>79.708054283864229</v>
      </c>
      <c r="AA18" s="238">
        <f t="shared" si="3"/>
        <v>26.504474602146818</v>
      </c>
      <c r="AB18" s="239">
        <f t="shared" si="4"/>
        <v>83.281040712898175</v>
      </c>
      <c r="AC18" s="239">
        <f t="shared" si="5"/>
        <v>28.489467062721232</v>
      </c>
      <c r="AD18" s="239">
        <f t="shared" si="10"/>
        <v>94</v>
      </c>
      <c r="AE18" s="239" t="b">
        <f t="shared" si="11"/>
        <v>0</v>
      </c>
      <c r="AF18" s="239">
        <f t="shared" si="19"/>
        <v>94</v>
      </c>
      <c r="AG18" s="239">
        <f t="shared" si="7"/>
        <v>34.444444444444443</v>
      </c>
      <c r="AH18" s="239">
        <f t="shared" si="8"/>
        <v>100</v>
      </c>
      <c r="AI18" s="238">
        <f t="shared" si="12"/>
        <v>61.860196057960856</v>
      </c>
      <c r="AJ18" s="238">
        <f t="shared" si="13"/>
        <v>52</v>
      </c>
      <c r="AK18" s="238">
        <f t="shared" si="14"/>
        <v>52</v>
      </c>
      <c r="AL18" s="238"/>
      <c r="AM18" s="240">
        <f t="shared" si="15"/>
        <v>3.3196619710273462E-2</v>
      </c>
      <c r="AN18" s="238">
        <f t="shared" si="16"/>
        <v>34.548285311478651</v>
      </c>
      <c r="AO18" s="240">
        <f t="shared" si="17"/>
        <v>5.3663941962242376E-2</v>
      </c>
      <c r="AP18" s="238">
        <f t="shared" si="18"/>
        <v>54.361573207751526</v>
      </c>
    </row>
    <row r="19" spans="1:42" ht="22.2" x14ac:dyDescent="0.7">
      <c r="A19" s="118"/>
      <c r="B19" s="118"/>
      <c r="C19" s="118"/>
      <c r="D19" s="118"/>
      <c r="G19" s="114" t="s">
        <v>120</v>
      </c>
      <c r="R19" s="220">
        <v>7</v>
      </c>
      <c r="S19" s="220">
        <v>21</v>
      </c>
      <c r="T19" s="220">
        <v>16</v>
      </c>
      <c r="U19" s="220">
        <f t="shared" si="0"/>
        <v>35</v>
      </c>
      <c r="V19" s="237">
        <f t="shared" si="9"/>
        <v>35632.666666666628</v>
      </c>
      <c r="W19" s="234">
        <v>95</v>
      </c>
      <c r="X19" s="234">
        <f t="shared" si="1"/>
        <v>35</v>
      </c>
      <c r="Y19" s="234">
        <v>49</v>
      </c>
      <c r="Z19" s="238">
        <f t="shared" si="2"/>
        <v>79.514659106763773</v>
      </c>
      <c r="AA19" s="238">
        <f t="shared" si="3"/>
        <v>26.397032837091007</v>
      </c>
      <c r="AB19" s="239">
        <f t="shared" si="4"/>
        <v>83.385994330072833</v>
      </c>
      <c r="AC19" s="239">
        <f t="shared" si="5"/>
        <v>28.547774627818264</v>
      </c>
      <c r="AD19" s="239">
        <f t="shared" si="10"/>
        <v>95</v>
      </c>
      <c r="AE19" s="239" t="b">
        <f t="shared" si="11"/>
        <v>0</v>
      </c>
      <c r="AF19" s="239">
        <f t="shared" si="19"/>
        <v>95</v>
      </c>
      <c r="AG19" s="239">
        <f t="shared" si="7"/>
        <v>35</v>
      </c>
      <c r="AH19" s="239">
        <f t="shared" si="8"/>
        <v>100</v>
      </c>
      <c r="AI19" s="238">
        <f t="shared" si="12"/>
        <v>59.464708594212432</v>
      </c>
      <c r="AJ19" s="238">
        <f t="shared" si="13"/>
        <v>49</v>
      </c>
      <c r="AK19" s="238">
        <f t="shared" si="14"/>
        <v>49</v>
      </c>
      <c r="AL19" s="238"/>
      <c r="AM19" s="240">
        <f t="shared" si="15"/>
        <v>3.2906926371540073E-2</v>
      </c>
      <c r="AN19" s="238">
        <f t="shared" si="16"/>
        <v>34.330599440074863</v>
      </c>
      <c r="AO19" s="240">
        <f t="shared" si="17"/>
        <v>5.5338581739460213E-2</v>
      </c>
      <c r="AP19" s="238">
        <f t="shared" si="18"/>
        <v>56.057983302073197</v>
      </c>
    </row>
    <row r="20" spans="1:42" ht="22.2" x14ac:dyDescent="0.7">
      <c r="A20" s="118"/>
      <c r="B20" s="118"/>
      <c r="C20" s="118"/>
      <c r="D20" s="118"/>
      <c r="G20" s="114" t="s">
        <v>120</v>
      </c>
      <c r="R20" s="220">
        <v>7</v>
      </c>
      <c r="S20" s="220">
        <v>21</v>
      </c>
      <c r="T20" s="220">
        <v>17</v>
      </c>
      <c r="U20" s="220">
        <f t="shared" si="0"/>
        <v>33.888888888888886</v>
      </c>
      <c r="V20" s="237">
        <f t="shared" si="9"/>
        <v>35632.708333333292</v>
      </c>
      <c r="W20" s="234">
        <v>93</v>
      </c>
      <c r="X20" s="234">
        <f t="shared" si="1"/>
        <v>33.888888888888886</v>
      </c>
      <c r="Y20" s="234">
        <v>52</v>
      </c>
      <c r="Z20" s="238">
        <f t="shared" si="2"/>
        <v>78.840021753139908</v>
      </c>
      <c r="AA20" s="238">
        <f t="shared" si="3"/>
        <v>26.022234307299971</v>
      </c>
      <c r="AB20" s="239">
        <f t="shared" si="4"/>
        <v>82.380016314854927</v>
      </c>
      <c r="AC20" s="239">
        <f t="shared" si="5"/>
        <v>27.988897952697204</v>
      </c>
      <c r="AD20" s="239">
        <f t="shared" si="10"/>
        <v>93</v>
      </c>
      <c r="AE20" s="239" t="b">
        <f t="shared" si="11"/>
        <v>0</v>
      </c>
      <c r="AF20" s="239">
        <f t="shared" si="19"/>
        <v>93</v>
      </c>
      <c r="AG20" s="239">
        <f t="shared" si="7"/>
        <v>33.888888888888886</v>
      </c>
      <c r="AH20" s="239">
        <f t="shared" si="8"/>
        <v>100</v>
      </c>
      <c r="AI20" s="238">
        <f t="shared" si="12"/>
        <v>61.984762981174327</v>
      </c>
      <c r="AJ20" s="238">
        <f t="shared" si="13"/>
        <v>52</v>
      </c>
      <c r="AK20" s="238">
        <f t="shared" si="14"/>
        <v>52</v>
      </c>
      <c r="AL20" s="238"/>
      <c r="AM20" s="240">
        <f t="shared" si="15"/>
        <v>3.2252803048968721E-2</v>
      </c>
      <c r="AN20" s="238">
        <f t="shared" si="16"/>
        <v>33.580554648041954</v>
      </c>
      <c r="AO20" s="240">
        <f t="shared" si="17"/>
        <v>5.2033437731728312E-2</v>
      </c>
      <c r="AP20" s="238">
        <f t="shared" si="18"/>
        <v>52.709872422240778</v>
      </c>
    </row>
    <row r="21" spans="1:42" ht="22.2" x14ac:dyDescent="0.7">
      <c r="A21" s="118"/>
      <c r="B21" s="118"/>
      <c r="C21" s="118"/>
      <c r="D21" s="118"/>
      <c r="G21" s="114" t="s">
        <v>120</v>
      </c>
      <c r="R21" s="220">
        <v>7</v>
      </c>
      <c r="S21" s="220">
        <v>21</v>
      </c>
      <c r="T21" s="220">
        <v>18</v>
      </c>
      <c r="U21" s="220">
        <f t="shared" si="0"/>
        <v>33.888888888888886</v>
      </c>
      <c r="V21" s="237">
        <f t="shared" si="9"/>
        <v>35632.749999999956</v>
      </c>
      <c r="W21" s="234">
        <v>93</v>
      </c>
      <c r="X21" s="234">
        <f t="shared" si="1"/>
        <v>33.888888888888886</v>
      </c>
      <c r="Y21" s="234">
        <v>52</v>
      </c>
      <c r="Z21" s="238">
        <f t="shared" si="2"/>
        <v>78.840021753139908</v>
      </c>
      <c r="AA21" s="238">
        <f t="shared" si="3"/>
        <v>26.022234307299971</v>
      </c>
      <c r="AB21" s="239">
        <f t="shared" si="4"/>
        <v>82.380016314854927</v>
      </c>
      <c r="AC21" s="239">
        <f t="shared" si="5"/>
        <v>27.988897952697204</v>
      </c>
      <c r="AD21" s="239">
        <f t="shared" si="10"/>
        <v>93</v>
      </c>
      <c r="AE21" s="239" t="b">
        <f t="shared" si="11"/>
        <v>0</v>
      </c>
      <c r="AF21" s="239">
        <f t="shared" si="19"/>
        <v>93</v>
      </c>
      <c r="AG21" s="239">
        <f t="shared" si="7"/>
        <v>33.888888888888886</v>
      </c>
      <c r="AH21" s="239">
        <f t="shared" si="8"/>
        <v>100</v>
      </c>
      <c r="AI21" s="238">
        <f t="shared" si="12"/>
        <v>61.984762981174327</v>
      </c>
      <c r="AJ21" s="238">
        <f t="shared" si="13"/>
        <v>52</v>
      </c>
      <c r="AK21" s="238">
        <f t="shared" si="14"/>
        <v>52</v>
      </c>
      <c r="AL21" s="238"/>
      <c r="AM21" s="240">
        <f t="shared" si="15"/>
        <v>3.2252803048968721E-2</v>
      </c>
      <c r="AN21" s="238">
        <f t="shared" si="16"/>
        <v>33.580554648041954</v>
      </c>
      <c r="AO21" s="240">
        <f t="shared" si="17"/>
        <v>5.2033437731728312E-2</v>
      </c>
      <c r="AP21" s="238">
        <f t="shared" si="18"/>
        <v>52.709872422240778</v>
      </c>
    </row>
    <row r="22" spans="1:42" ht="22.2" x14ac:dyDescent="0.7">
      <c r="A22" s="118"/>
      <c r="B22" s="118"/>
      <c r="C22" s="118"/>
      <c r="D22" s="118"/>
      <c r="G22" s="114" t="s">
        <v>120</v>
      </c>
      <c r="R22" s="220">
        <v>7</v>
      </c>
      <c r="S22" s="220">
        <v>21</v>
      </c>
      <c r="T22" s="220">
        <v>19</v>
      </c>
      <c r="U22" s="220">
        <f t="shared" si="0"/>
        <v>32.777777777777779</v>
      </c>
      <c r="V22" s="237">
        <f t="shared" si="9"/>
        <v>35632.791666666621</v>
      </c>
      <c r="W22" s="234">
        <v>91</v>
      </c>
      <c r="X22" s="234">
        <f t="shared" si="1"/>
        <v>32.777777777777779</v>
      </c>
      <c r="Y22" s="234">
        <v>60</v>
      </c>
      <c r="Z22" s="238">
        <f t="shared" si="2"/>
        <v>79.68471791757166</v>
      </c>
      <c r="AA22" s="238">
        <f t="shared" si="3"/>
        <v>26.491509954206499</v>
      </c>
      <c r="AB22" s="239">
        <f t="shared" si="4"/>
        <v>82.513538438178742</v>
      </c>
      <c r="AC22" s="239">
        <f t="shared" si="5"/>
        <v>28.063076910099326</v>
      </c>
      <c r="AD22" s="239">
        <f t="shared" si="10"/>
        <v>91</v>
      </c>
      <c r="AE22" s="239" t="b">
        <f t="shared" si="11"/>
        <v>0</v>
      </c>
      <c r="AF22" s="239">
        <f t="shared" si="19"/>
        <v>91</v>
      </c>
      <c r="AG22" s="239">
        <f t="shared" si="7"/>
        <v>32.777777777777779</v>
      </c>
      <c r="AH22" s="239">
        <f t="shared" si="8"/>
        <v>100</v>
      </c>
      <c r="AI22" s="238">
        <f t="shared" si="12"/>
        <v>68.218259300304481</v>
      </c>
      <c r="AJ22" s="238">
        <f t="shared" si="13"/>
        <v>60</v>
      </c>
      <c r="AK22" s="238">
        <f t="shared" si="14"/>
        <v>60</v>
      </c>
      <c r="AL22" s="238"/>
      <c r="AM22" s="240">
        <f t="shared" si="15"/>
        <v>3.3359375324456882E-2</v>
      </c>
      <c r="AN22" s="238">
        <f t="shared" si="16"/>
        <v>34.521954224876509</v>
      </c>
      <c r="AO22" s="240">
        <f t="shared" si="17"/>
        <v>4.8900947732490714E-2</v>
      </c>
      <c r="AP22" s="238">
        <f t="shared" si="18"/>
        <v>49.536660053013094</v>
      </c>
    </row>
    <row r="23" spans="1:42" ht="22.2" x14ac:dyDescent="0.7">
      <c r="A23" s="118"/>
      <c r="B23" s="118"/>
      <c r="C23" s="118"/>
      <c r="D23" s="118"/>
      <c r="G23" s="114" t="s">
        <v>120</v>
      </c>
      <c r="R23" s="220">
        <v>7</v>
      </c>
      <c r="S23" s="220">
        <v>21</v>
      </c>
      <c r="T23" s="220">
        <v>20</v>
      </c>
      <c r="U23" s="220">
        <f t="shared" si="0"/>
        <v>29.444444444444443</v>
      </c>
      <c r="V23" s="237">
        <f t="shared" si="9"/>
        <v>35632.833333333285</v>
      </c>
      <c r="W23" s="234">
        <v>85</v>
      </c>
      <c r="X23" s="234">
        <f t="shared" si="1"/>
        <v>29.444444444444443</v>
      </c>
      <c r="Y23" s="234">
        <v>75</v>
      </c>
      <c r="Z23" s="238">
        <f t="shared" si="2"/>
        <v>78.518599487306759</v>
      </c>
      <c r="AA23" s="238">
        <f t="shared" si="3"/>
        <v>25.84366638183711</v>
      </c>
      <c r="AB23" s="239">
        <f t="shared" si="4"/>
        <v>80.138949615480072</v>
      </c>
      <c r="AC23" s="239">
        <f t="shared" si="5"/>
        <v>26.74386089748895</v>
      </c>
      <c r="AD23" s="239">
        <f t="shared" si="10"/>
        <v>85</v>
      </c>
      <c r="AE23" s="239" t="b">
        <f t="shared" si="11"/>
        <v>0</v>
      </c>
      <c r="AF23" s="239">
        <f t="shared" si="19"/>
        <v>85</v>
      </c>
      <c r="AG23" s="239">
        <f t="shared" si="7"/>
        <v>29.444444444444443</v>
      </c>
      <c r="AH23" s="239">
        <f t="shared" si="8"/>
        <v>100</v>
      </c>
      <c r="AI23" s="238">
        <f t="shared" si="12"/>
        <v>80.047990254939521</v>
      </c>
      <c r="AJ23" s="238">
        <f t="shared" si="13"/>
        <v>75</v>
      </c>
      <c r="AK23" s="238">
        <f t="shared" si="14"/>
        <v>75</v>
      </c>
      <c r="AL23" s="238"/>
      <c r="AM23" s="240">
        <f t="shared" si="15"/>
        <v>3.2391132093113402E-2</v>
      </c>
      <c r="AN23" s="238">
        <f t="shared" si="16"/>
        <v>33.22825680724003</v>
      </c>
      <c r="AO23" s="240">
        <f t="shared" si="17"/>
        <v>4.0464641260765002E-2</v>
      </c>
      <c r="AP23" s="238">
        <f t="shared" si="18"/>
        <v>40.990681597154946</v>
      </c>
    </row>
    <row r="24" spans="1:42" ht="22.2" x14ac:dyDescent="0.7">
      <c r="A24" s="118"/>
      <c r="B24" s="118"/>
      <c r="C24" s="118"/>
      <c r="D24" s="118"/>
      <c r="G24" s="114" t="s">
        <v>120</v>
      </c>
      <c r="R24" s="220">
        <v>7</v>
      </c>
      <c r="S24" s="220">
        <v>21</v>
      </c>
      <c r="T24" s="220">
        <v>21</v>
      </c>
      <c r="U24" s="220">
        <f t="shared" si="0"/>
        <v>30</v>
      </c>
      <c r="V24" s="237">
        <f t="shared" si="9"/>
        <v>35632.874999999949</v>
      </c>
      <c r="W24" s="234">
        <v>86</v>
      </c>
      <c r="X24" s="234">
        <f t="shared" si="1"/>
        <v>30</v>
      </c>
      <c r="Y24" s="234">
        <v>72</v>
      </c>
      <c r="Z24" s="238">
        <f t="shared" si="2"/>
        <v>78.632483735018013</v>
      </c>
      <c r="AA24" s="238">
        <f t="shared" si="3"/>
        <v>25.906935408343362</v>
      </c>
      <c r="AB24" s="239">
        <f t="shared" si="4"/>
        <v>80.47436280126351</v>
      </c>
      <c r="AC24" s="239">
        <f t="shared" si="5"/>
        <v>26.930201556257529</v>
      </c>
      <c r="AD24" s="239">
        <f t="shared" si="10"/>
        <v>86</v>
      </c>
      <c r="AE24" s="239" t="b">
        <f t="shared" si="11"/>
        <v>0</v>
      </c>
      <c r="AF24" s="239">
        <f t="shared" si="19"/>
        <v>86</v>
      </c>
      <c r="AG24" s="239">
        <f t="shared" si="7"/>
        <v>30</v>
      </c>
      <c r="AH24" s="239">
        <f t="shared" si="8"/>
        <v>100</v>
      </c>
      <c r="AI24" s="238">
        <f t="shared" si="12"/>
        <v>77.6950265394307</v>
      </c>
      <c r="AJ24" s="238">
        <f t="shared" si="13"/>
        <v>72</v>
      </c>
      <c r="AK24" s="238">
        <f t="shared" si="14"/>
        <v>72</v>
      </c>
      <c r="AL24" s="238"/>
      <c r="AM24" s="240">
        <f t="shared" si="15"/>
        <v>3.245772478968903E-2</v>
      </c>
      <c r="AN24" s="238">
        <f t="shared" si="16"/>
        <v>33.352710408663327</v>
      </c>
      <c r="AO24" s="240">
        <f t="shared" si="17"/>
        <v>4.177580758430726E-2</v>
      </c>
      <c r="AP24" s="238">
        <f t="shared" si="18"/>
        <v>42.318893082903251</v>
      </c>
    </row>
    <row r="25" spans="1:42" ht="22.2" x14ac:dyDescent="0.7">
      <c r="A25" s="118"/>
      <c r="B25" s="118"/>
      <c r="C25" s="118"/>
      <c r="D25" s="118"/>
      <c r="G25" s="114" t="s">
        <v>120</v>
      </c>
      <c r="R25" s="220">
        <v>7</v>
      </c>
      <c r="S25" s="220">
        <v>21</v>
      </c>
      <c r="T25" s="220">
        <v>22</v>
      </c>
      <c r="U25" s="220">
        <f t="shared" si="0"/>
        <v>28.888888888888889</v>
      </c>
      <c r="V25" s="237">
        <f t="shared" si="9"/>
        <v>35632.916666666613</v>
      </c>
      <c r="W25" s="234">
        <v>84</v>
      </c>
      <c r="X25" s="234">
        <f t="shared" si="1"/>
        <v>28.888888888888889</v>
      </c>
      <c r="Y25" s="234">
        <v>74</v>
      </c>
      <c r="Z25" s="238">
        <f t="shared" si="2"/>
        <v>77.301593526290034</v>
      </c>
      <c r="AA25" s="238">
        <f t="shared" si="3"/>
        <v>25.167551959050041</v>
      </c>
      <c r="AB25" s="239">
        <f t="shared" si="4"/>
        <v>78.976195144717522</v>
      </c>
      <c r="AC25" s="239">
        <f t="shared" si="5"/>
        <v>26.097886191509758</v>
      </c>
      <c r="AD25" s="239">
        <f t="shared" si="10"/>
        <v>84</v>
      </c>
      <c r="AE25" s="239" t="b">
        <f t="shared" si="11"/>
        <v>0</v>
      </c>
      <c r="AF25" s="239">
        <f t="shared" si="19"/>
        <v>84</v>
      </c>
      <c r="AG25" s="239">
        <f t="shared" si="7"/>
        <v>28.888888888888889</v>
      </c>
      <c r="AH25" s="239">
        <f t="shared" si="8"/>
        <v>100</v>
      </c>
      <c r="AI25" s="238">
        <f t="shared" si="12"/>
        <v>79.335860452512392</v>
      </c>
      <c r="AJ25" s="238">
        <f t="shared" si="13"/>
        <v>74</v>
      </c>
      <c r="AK25" s="238">
        <f t="shared" si="14"/>
        <v>74</v>
      </c>
      <c r="AL25" s="238"/>
      <c r="AM25" s="240">
        <f t="shared" si="15"/>
        <v>3.1091261929862196E-2</v>
      </c>
      <c r="AN25" s="238">
        <f t="shared" si="16"/>
        <v>31.923366709357524</v>
      </c>
      <c r="AO25" s="240">
        <f t="shared" si="17"/>
        <v>3.9189417941048625E-2</v>
      </c>
      <c r="AP25" s="238">
        <f t="shared" si="18"/>
        <v>39.698880374282254</v>
      </c>
    </row>
    <row r="26" spans="1:42" ht="22.2" x14ac:dyDescent="0.7">
      <c r="A26" s="118"/>
      <c r="B26" s="118"/>
      <c r="C26" s="118"/>
      <c r="D26" s="118"/>
      <c r="G26" s="114" t="s">
        <v>120</v>
      </c>
      <c r="R26" s="220">
        <v>7</v>
      </c>
      <c r="S26" s="220">
        <v>21</v>
      </c>
      <c r="T26" s="220">
        <v>23</v>
      </c>
      <c r="U26" s="220">
        <f t="shared" si="0"/>
        <v>27.777777777777779</v>
      </c>
      <c r="V26" s="237">
        <f t="shared" si="9"/>
        <v>35632.958333333278</v>
      </c>
      <c r="W26" s="234">
        <v>82</v>
      </c>
      <c r="X26" s="234">
        <f t="shared" si="1"/>
        <v>27.777777777777779</v>
      </c>
      <c r="Y26" s="234">
        <v>79</v>
      </c>
      <c r="Z26" s="238">
        <f t="shared" si="2"/>
        <v>76.732001052191208</v>
      </c>
      <c r="AA26" s="238">
        <f t="shared" si="3"/>
        <v>24.851111695661803</v>
      </c>
      <c r="AB26" s="239">
        <f t="shared" si="4"/>
        <v>78.049000789143406</v>
      </c>
      <c r="AC26" s="239">
        <f t="shared" si="5"/>
        <v>25.582778216190803</v>
      </c>
      <c r="AD26" s="239">
        <f t="shared" si="10"/>
        <v>82</v>
      </c>
      <c r="AE26" s="239" t="b">
        <f t="shared" si="11"/>
        <v>0</v>
      </c>
      <c r="AF26" s="239">
        <f t="shared" si="19"/>
        <v>82</v>
      </c>
      <c r="AG26" s="239">
        <f t="shared" si="7"/>
        <v>27.777777777777779</v>
      </c>
      <c r="AH26" s="239">
        <f t="shared" si="8"/>
        <v>100</v>
      </c>
      <c r="AI26" s="238">
        <f t="shared" si="12"/>
        <v>83.265081632107893</v>
      </c>
      <c r="AJ26" s="238">
        <f t="shared" si="13"/>
        <v>79</v>
      </c>
      <c r="AK26" s="238">
        <f t="shared" si="14"/>
        <v>79</v>
      </c>
      <c r="AL26" s="238"/>
      <c r="AM26" s="240">
        <f t="shared" si="15"/>
        <v>3.059449916917302E-2</v>
      </c>
      <c r="AN26" s="238">
        <f t="shared" si="16"/>
        <v>31.328149942027842</v>
      </c>
      <c r="AO26" s="240">
        <f t="shared" si="17"/>
        <v>3.6743492673614889E-2</v>
      </c>
      <c r="AP26" s="238">
        <f t="shared" si="18"/>
        <v>37.221158078371879</v>
      </c>
    </row>
    <row r="27" spans="1:42" ht="22.2" x14ac:dyDescent="0.7">
      <c r="A27" s="118"/>
      <c r="B27" s="118"/>
      <c r="C27" s="118"/>
      <c r="D27" s="118"/>
      <c r="G27" s="114" t="s">
        <v>120</v>
      </c>
      <c r="R27" s="220">
        <v>7</v>
      </c>
      <c r="S27" s="220">
        <v>21</v>
      </c>
      <c r="T27" s="220">
        <v>24</v>
      </c>
      <c r="U27" s="220">
        <f t="shared" si="0"/>
        <v>26.666666666666668</v>
      </c>
      <c r="V27" s="237">
        <f t="shared" si="9"/>
        <v>35632.999999999942</v>
      </c>
      <c r="W27" s="234">
        <v>80</v>
      </c>
      <c r="X27" s="234">
        <f t="shared" si="1"/>
        <v>26.666666666666668</v>
      </c>
      <c r="Y27" s="234">
        <v>85</v>
      </c>
      <c r="Z27" s="238">
        <f t="shared" si="2"/>
        <v>76.344905095654411</v>
      </c>
      <c r="AA27" s="238">
        <f t="shared" si="3"/>
        <v>24.636058386474694</v>
      </c>
      <c r="AB27" s="239">
        <f t="shared" si="4"/>
        <v>77.258678821740801</v>
      </c>
      <c r="AC27" s="239">
        <f t="shared" si="5"/>
        <v>25.14371045652269</v>
      </c>
      <c r="AD27" s="239">
        <f t="shared" si="10"/>
        <v>80</v>
      </c>
      <c r="AE27" s="239" t="b">
        <f t="shared" si="11"/>
        <v>0</v>
      </c>
      <c r="AF27" s="239">
        <f t="shared" si="19"/>
        <v>80</v>
      </c>
      <c r="AG27" s="239">
        <f t="shared" si="7"/>
        <v>26.666666666666668</v>
      </c>
      <c r="AH27" s="239">
        <f t="shared" si="8"/>
        <v>100</v>
      </c>
      <c r="AI27" s="238">
        <f t="shared" si="12"/>
        <v>88.00770343184584</v>
      </c>
      <c r="AJ27" s="238">
        <f t="shared" si="13"/>
        <v>85</v>
      </c>
      <c r="AK27" s="238">
        <f t="shared" si="14"/>
        <v>85</v>
      </c>
      <c r="AL27" s="238"/>
      <c r="AM27" s="240">
        <f t="shared" si="15"/>
        <v>3.0302431728920731E-2</v>
      </c>
      <c r="AN27" s="238">
        <f t="shared" si="16"/>
        <v>30.929184759689246</v>
      </c>
      <c r="AO27" s="240">
        <f t="shared" si="17"/>
        <v>3.4431567405218425E-2</v>
      </c>
      <c r="AP27" s="238">
        <f t="shared" si="18"/>
        <v>34.879177781486263</v>
      </c>
    </row>
    <row r="28" spans="1:42" ht="22.2" x14ac:dyDescent="0.7">
      <c r="A28" s="118"/>
      <c r="B28" s="118"/>
      <c r="C28" s="118"/>
      <c r="D28" s="118"/>
      <c r="G28" s="114" t="s">
        <v>120</v>
      </c>
      <c r="R28" s="220">
        <v>7</v>
      </c>
      <c r="S28" s="220">
        <v>22</v>
      </c>
      <c r="T28" s="220">
        <v>1</v>
      </c>
      <c r="U28" s="220">
        <f t="shared" si="0"/>
        <v>27.222222222222221</v>
      </c>
      <c r="V28" s="237">
        <f t="shared" si="9"/>
        <v>35633.041666666606</v>
      </c>
      <c r="W28" s="234">
        <v>81</v>
      </c>
      <c r="X28" s="234">
        <f t="shared" si="1"/>
        <v>27.222222222222221</v>
      </c>
      <c r="Y28" s="234">
        <v>82</v>
      </c>
      <c r="Z28" s="238">
        <f t="shared" si="2"/>
        <v>76.5487187084087</v>
      </c>
      <c r="AA28" s="238">
        <f t="shared" si="3"/>
        <v>24.749288171338186</v>
      </c>
      <c r="AB28" s="239">
        <f t="shared" si="4"/>
        <v>77.661539031306518</v>
      </c>
      <c r="AC28" s="239">
        <f t="shared" si="5"/>
        <v>25.367521684059199</v>
      </c>
      <c r="AD28" s="239">
        <f t="shared" si="10"/>
        <v>81</v>
      </c>
      <c r="AE28" s="239" t="b">
        <f t="shared" si="11"/>
        <v>0</v>
      </c>
      <c r="AF28" s="239">
        <f t="shared" si="19"/>
        <v>81</v>
      </c>
      <c r="AG28" s="239">
        <f t="shared" si="7"/>
        <v>27.222222222222221</v>
      </c>
      <c r="AH28" s="239">
        <f t="shared" si="8"/>
        <v>100</v>
      </c>
      <c r="AI28" s="238">
        <f t="shared" si="12"/>
        <v>85.628388219831862</v>
      </c>
      <c r="AJ28" s="238">
        <f t="shared" si="13"/>
        <v>82</v>
      </c>
      <c r="AK28" s="238">
        <f t="shared" si="14"/>
        <v>82</v>
      </c>
      <c r="AL28" s="238"/>
      <c r="AM28" s="240">
        <f t="shared" si="15"/>
        <v>3.0459023589619688E-2</v>
      </c>
      <c r="AN28" s="238">
        <f t="shared" si="16"/>
        <v>31.138691823638794</v>
      </c>
      <c r="AO28" s="240">
        <f t="shared" si="17"/>
        <v>3.5571174727034346E-2</v>
      </c>
      <c r="AP28" s="238">
        <f t="shared" si="18"/>
        <v>36.033599998485791</v>
      </c>
    </row>
    <row r="29" spans="1:42" ht="22.2" x14ac:dyDescent="0.7">
      <c r="A29" s="118"/>
      <c r="B29" s="118"/>
      <c r="C29" s="118"/>
      <c r="D29" s="118"/>
      <c r="G29" s="114" t="s">
        <v>120</v>
      </c>
      <c r="R29" s="220">
        <v>7</v>
      </c>
      <c r="S29" s="220">
        <v>22</v>
      </c>
      <c r="T29" s="220">
        <v>2</v>
      </c>
      <c r="U29" s="220">
        <f t="shared" si="0"/>
        <v>25.555555555555557</v>
      </c>
      <c r="V29" s="237">
        <f t="shared" si="9"/>
        <v>35633.08333333327</v>
      </c>
      <c r="W29" s="234">
        <v>78</v>
      </c>
      <c r="X29" s="234">
        <f t="shared" si="1"/>
        <v>25.555555555555557</v>
      </c>
      <c r="Y29" s="234">
        <v>91</v>
      </c>
      <c r="Z29" s="238">
        <f t="shared" si="2"/>
        <v>75.881775688564488</v>
      </c>
      <c r="AA29" s="238">
        <f t="shared" si="3"/>
        <v>24.378764271424735</v>
      </c>
      <c r="AB29" s="239">
        <f t="shared" si="4"/>
        <v>76.411331766423359</v>
      </c>
      <c r="AC29" s="239">
        <f t="shared" si="5"/>
        <v>24.672962092457443</v>
      </c>
      <c r="AD29" s="239">
        <f t="shared" si="10"/>
        <v>78</v>
      </c>
      <c r="AE29" s="239" t="b">
        <f t="shared" si="11"/>
        <v>0</v>
      </c>
      <c r="AF29" s="239">
        <f t="shared" si="19"/>
        <v>78</v>
      </c>
      <c r="AG29" s="239">
        <f t="shared" si="7"/>
        <v>25.555555555555557</v>
      </c>
      <c r="AH29" s="239">
        <f t="shared" si="8"/>
        <v>100</v>
      </c>
      <c r="AI29" s="238">
        <f t="shared" si="12"/>
        <v>92.825429994661562</v>
      </c>
      <c r="AJ29" s="238">
        <f t="shared" si="13"/>
        <v>91</v>
      </c>
      <c r="AK29" s="238">
        <f t="shared" si="14"/>
        <v>91</v>
      </c>
      <c r="AL29" s="238"/>
      <c r="AM29" s="240">
        <f t="shared" si="15"/>
        <v>2.9933801581416623E-2</v>
      </c>
      <c r="AN29" s="238">
        <f t="shared" si="16"/>
        <v>30.457683231086897</v>
      </c>
      <c r="AO29" s="240">
        <f t="shared" si="17"/>
        <v>3.2247414941291554E-2</v>
      </c>
      <c r="AP29" s="238">
        <f t="shared" si="18"/>
        <v>32.666631335528344</v>
      </c>
    </row>
    <row r="30" spans="1:42" ht="22.2" x14ac:dyDescent="0.7">
      <c r="A30" s="118"/>
      <c r="B30" s="118"/>
      <c r="C30" s="118"/>
      <c r="D30" s="118"/>
      <c r="G30" s="114" t="s">
        <v>120</v>
      </c>
      <c r="R30" s="220">
        <v>7</v>
      </c>
      <c r="S30" s="220">
        <v>22</v>
      </c>
      <c r="T30" s="220">
        <v>3</v>
      </c>
      <c r="U30" s="220">
        <f t="shared" si="0"/>
        <v>26.111111111111111</v>
      </c>
      <c r="V30" s="237">
        <f t="shared" si="9"/>
        <v>35633.124999999935</v>
      </c>
      <c r="W30" s="234">
        <v>79</v>
      </c>
      <c r="X30" s="234">
        <f t="shared" si="1"/>
        <v>26.111111111111111</v>
      </c>
      <c r="Y30" s="234">
        <v>85</v>
      </c>
      <c r="Z30" s="238">
        <f t="shared" si="2"/>
        <v>75.371998039037152</v>
      </c>
      <c r="AA30" s="238">
        <f t="shared" si="3"/>
        <v>24.095554466131773</v>
      </c>
      <c r="AB30" s="239">
        <f t="shared" si="4"/>
        <v>76.278998529277857</v>
      </c>
      <c r="AC30" s="239">
        <f t="shared" si="5"/>
        <v>24.599443627376608</v>
      </c>
      <c r="AD30" s="239">
        <f t="shared" si="10"/>
        <v>79</v>
      </c>
      <c r="AE30" s="239" t="b">
        <f t="shared" si="11"/>
        <v>0</v>
      </c>
      <c r="AF30" s="239">
        <f t="shared" si="19"/>
        <v>79</v>
      </c>
      <c r="AG30" s="239">
        <f t="shared" si="7"/>
        <v>26.111111111111111</v>
      </c>
      <c r="AH30" s="239">
        <f t="shared" si="8"/>
        <v>100</v>
      </c>
      <c r="AI30" s="238">
        <f t="shared" si="12"/>
        <v>88.027921110303993</v>
      </c>
      <c r="AJ30" s="238">
        <f t="shared" si="13"/>
        <v>85</v>
      </c>
      <c r="AK30" s="238">
        <f t="shared" si="14"/>
        <v>85</v>
      </c>
      <c r="AL30" s="238"/>
      <c r="AM30" s="240">
        <f t="shared" si="15"/>
        <v>2.9334336115130078E-2</v>
      </c>
      <c r="AN30" s="238">
        <f t="shared" si="16"/>
        <v>29.945950730448679</v>
      </c>
      <c r="AO30" s="240">
        <f t="shared" si="17"/>
        <v>3.3323899673119044E-2</v>
      </c>
      <c r="AP30" s="238">
        <f t="shared" si="18"/>
        <v>33.75711036886959</v>
      </c>
    </row>
    <row r="31" spans="1:42" ht="22.2" x14ac:dyDescent="0.7">
      <c r="A31" s="118"/>
      <c r="B31" s="118"/>
      <c r="C31" s="118"/>
      <c r="D31" s="118"/>
      <c r="G31" s="114" t="s">
        <v>120</v>
      </c>
      <c r="R31" s="220">
        <v>7</v>
      </c>
      <c r="S31" s="220">
        <v>22</v>
      </c>
      <c r="T31" s="220">
        <v>4</v>
      </c>
      <c r="U31" s="220">
        <f t="shared" si="0"/>
        <v>25.555555555555557</v>
      </c>
      <c r="V31" s="237">
        <f t="shared" si="9"/>
        <v>35633.166666666599</v>
      </c>
      <c r="W31" s="234">
        <v>78</v>
      </c>
      <c r="X31" s="234">
        <f t="shared" si="1"/>
        <v>25.555555555555557</v>
      </c>
      <c r="Y31" s="234">
        <v>85</v>
      </c>
      <c r="Z31" s="238">
        <f t="shared" si="2"/>
        <v>74.399090172530876</v>
      </c>
      <c r="AA31" s="238">
        <f t="shared" si="3"/>
        <v>23.555050095850508</v>
      </c>
      <c r="AB31" s="239">
        <f t="shared" si="4"/>
        <v>75.299317629398161</v>
      </c>
      <c r="AC31" s="239">
        <f t="shared" si="5"/>
        <v>24.055176460776774</v>
      </c>
      <c r="AD31" s="239">
        <f t="shared" si="10"/>
        <v>78</v>
      </c>
      <c r="AE31" s="239" t="b">
        <f t="shared" si="11"/>
        <v>0</v>
      </c>
      <c r="AF31" s="239">
        <f t="shared" si="19"/>
        <v>78</v>
      </c>
      <c r="AG31" s="239">
        <f t="shared" si="7"/>
        <v>25.555555555555557</v>
      </c>
      <c r="AH31" s="239">
        <f t="shared" si="8"/>
        <v>100</v>
      </c>
      <c r="AI31" s="238">
        <f t="shared" si="12"/>
        <v>88.048095929273913</v>
      </c>
      <c r="AJ31" s="238">
        <f t="shared" si="13"/>
        <v>85</v>
      </c>
      <c r="AK31" s="238">
        <f t="shared" si="14"/>
        <v>85</v>
      </c>
      <c r="AL31" s="238"/>
      <c r="AM31" s="240">
        <f t="shared" si="15"/>
        <v>2.8393234842219395E-2</v>
      </c>
      <c r="AN31" s="238">
        <f t="shared" si="16"/>
        <v>28.990097276765955</v>
      </c>
      <c r="AO31" s="240">
        <f t="shared" si="17"/>
        <v>3.2247414941291554E-2</v>
      </c>
      <c r="AP31" s="238">
        <f t="shared" si="18"/>
        <v>32.666631335528344</v>
      </c>
    </row>
    <row r="32" spans="1:42" ht="22.2" x14ac:dyDescent="0.7">
      <c r="A32" s="118"/>
      <c r="B32" s="118"/>
      <c r="C32" s="118"/>
      <c r="D32" s="118"/>
      <c r="G32" s="114" t="s">
        <v>120</v>
      </c>
      <c r="R32" s="220">
        <v>7</v>
      </c>
      <c r="S32" s="220">
        <v>22</v>
      </c>
      <c r="T32" s="220">
        <v>5</v>
      </c>
      <c r="U32" s="220">
        <f t="shared" si="0"/>
        <v>25</v>
      </c>
      <c r="V32" s="237">
        <f t="shared" si="9"/>
        <v>35633.208333333263</v>
      </c>
      <c r="W32" s="234">
        <v>77</v>
      </c>
      <c r="X32" s="234">
        <f t="shared" si="1"/>
        <v>25</v>
      </c>
      <c r="Y32" s="234">
        <v>88</v>
      </c>
      <c r="Z32" s="238">
        <f t="shared" si="2"/>
        <v>74.161629187045833</v>
      </c>
      <c r="AA32" s="238">
        <f t="shared" si="3"/>
        <v>23.423127326136594</v>
      </c>
      <c r="AB32" s="239">
        <f t="shared" si="4"/>
        <v>74.871221890284374</v>
      </c>
      <c r="AC32" s="239">
        <f t="shared" si="5"/>
        <v>23.817345494602449</v>
      </c>
      <c r="AD32" s="239">
        <f t="shared" si="10"/>
        <v>77</v>
      </c>
      <c r="AE32" s="239" t="b">
        <f t="shared" si="11"/>
        <v>0</v>
      </c>
      <c r="AF32" s="239">
        <f t="shared" si="19"/>
        <v>77</v>
      </c>
      <c r="AG32" s="239">
        <f t="shared" si="7"/>
        <v>25</v>
      </c>
      <c r="AH32" s="239">
        <f t="shared" si="8"/>
        <v>100</v>
      </c>
      <c r="AI32" s="238">
        <f t="shared" si="12"/>
        <v>90.427723683657206</v>
      </c>
      <c r="AJ32" s="238">
        <f t="shared" si="13"/>
        <v>88</v>
      </c>
      <c r="AK32" s="238">
        <f t="shared" si="14"/>
        <v>88</v>
      </c>
      <c r="AL32" s="238"/>
      <c r="AM32" s="240">
        <f t="shared" si="15"/>
        <v>2.8214689443363215E-2</v>
      </c>
      <c r="AN32" s="238">
        <f t="shared" si="16"/>
        <v>28.760882326182024</v>
      </c>
      <c r="AO32" s="240">
        <f t="shared" si="17"/>
        <v>3.1201370878323226E-2</v>
      </c>
      <c r="AP32" s="238">
        <f t="shared" si="18"/>
        <v>31.606988699741429</v>
      </c>
    </row>
    <row r="33" spans="1:42" ht="22.2" x14ac:dyDescent="0.7">
      <c r="A33" s="118"/>
      <c r="B33" s="118"/>
      <c r="C33" s="118"/>
      <c r="D33" s="118"/>
      <c r="G33" s="114" t="s">
        <v>120</v>
      </c>
      <c r="R33" s="220">
        <v>7</v>
      </c>
      <c r="S33" s="220">
        <v>22</v>
      </c>
      <c r="T33" s="220">
        <v>6</v>
      </c>
      <c r="U33" s="220">
        <f t="shared" si="0"/>
        <v>25</v>
      </c>
      <c r="V33" s="237">
        <f t="shared" si="9"/>
        <v>35633.249999999927</v>
      </c>
      <c r="W33" s="234">
        <v>77</v>
      </c>
      <c r="X33" s="234">
        <f t="shared" si="1"/>
        <v>25</v>
      </c>
      <c r="Y33" s="234">
        <v>91</v>
      </c>
      <c r="Z33" s="238">
        <f t="shared" si="2"/>
        <v>74.894462309033202</v>
      </c>
      <c r="AA33" s="238">
        <f t="shared" si="3"/>
        <v>23.830256838351797</v>
      </c>
      <c r="AB33" s="239">
        <f t="shared" si="4"/>
        <v>75.420846731774901</v>
      </c>
      <c r="AC33" s="239">
        <f t="shared" si="5"/>
        <v>24.122692628763854</v>
      </c>
      <c r="AD33" s="239">
        <f t="shared" si="10"/>
        <v>77</v>
      </c>
      <c r="AE33" s="239" t="b">
        <f t="shared" si="11"/>
        <v>0</v>
      </c>
      <c r="AF33" s="239">
        <f t="shared" si="19"/>
        <v>77</v>
      </c>
      <c r="AG33" s="239">
        <f t="shared" si="7"/>
        <v>25</v>
      </c>
      <c r="AH33" s="239">
        <f t="shared" si="8"/>
        <v>100</v>
      </c>
      <c r="AI33" s="238">
        <f t="shared" si="12"/>
        <v>92.827415886717418</v>
      </c>
      <c r="AJ33" s="238">
        <f t="shared" si="13"/>
        <v>91</v>
      </c>
      <c r="AK33" s="238">
        <f t="shared" si="14"/>
        <v>91</v>
      </c>
      <c r="AL33" s="238"/>
      <c r="AM33" s="240">
        <f t="shared" si="15"/>
        <v>2.8963426307578234E-2</v>
      </c>
      <c r="AN33" s="238">
        <f t="shared" si="16"/>
        <v>29.473404745358618</v>
      </c>
      <c r="AO33" s="240">
        <f t="shared" si="17"/>
        <v>3.1201370878323226E-2</v>
      </c>
      <c r="AP33" s="238">
        <f t="shared" si="18"/>
        <v>31.606988699741429</v>
      </c>
    </row>
    <row r="34" spans="1:42" ht="22.2" x14ac:dyDescent="0.7">
      <c r="A34" s="118"/>
      <c r="B34" s="118"/>
      <c r="C34" s="118"/>
      <c r="D34" s="118"/>
      <c r="R34" s="220">
        <v>7</v>
      </c>
      <c r="S34" s="220">
        <v>22</v>
      </c>
      <c r="T34" s="220">
        <v>7</v>
      </c>
      <c r="U34" s="220">
        <f t="shared" si="0"/>
        <v>27.222222222222221</v>
      </c>
      <c r="V34" s="237">
        <f t="shared" si="9"/>
        <v>35633.291666666591</v>
      </c>
      <c r="W34" s="234">
        <v>81</v>
      </c>
      <c r="X34" s="234">
        <f t="shared" si="1"/>
        <v>27.222222222222221</v>
      </c>
      <c r="Y34" s="234">
        <v>82</v>
      </c>
      <c r="Z34" s="238">
        <f t="shared" si="2"/>
        <v>76.5487187084087</v>
      </c>
      <c r="AA34" s="238">
        <f t="shared" si="3"/>
        <v>24.749288171338186</v>
      </c>
      <c r="AB34" s="239">
        <f t="shared" si="4"/>
        <v>77.661539031306518</v>
      </c>
      <c r="AC34" s="239">
        <f t="shared" si="5"/>
        <v>25.367521684059199</v>
      </c>
      <c r="AD34" s="239">
        <f t="shared" si="10"/>
        <v>81</v>
      </c>
      <c r="AE34" s="239" t="b">
        <f t="shared" si="11"/>
        <v>0</v>
      </c>
      <c r="AF34" s="239">
        <f t="shared" si="19"/>
        <v>81</v>
      </c>
      <c r="AG34" s="239">
        <f t="shared" si="7"/>
        <v>27.222222222222221</v>
      </c>
      <c r="AH34" s="239">
        <f t="shared" si="8"/>
        <v>100</v>
      </c>
      <c r="AI34" s="238">
        <f t="shared" si="12"/>
        <v>85.628388219831862</v>
      </c>
      <c r="AJ34" s="238">
        <f t="shared" si="13"/>
        <v>82</v>
      </c>
      <c r="AK34" s="238">
        <f t="shared" si="14"/>
        <v>82</v>
      </c>
      <c r="AL34" s="238"/>
      <c r="AM34" s="240">
        <f t="shared" si="15"/>
        <v>3.0459023589619688E-2</v>
      </c>
      <c r="AN34" s="238">
        <f t="shared" si="16"/>
        <v>31.138691823638794</v>
      </c>
      <c r="AO34" s="240">
        <f t="shared" si="17"/>
        <v>3.5571174727034346E-2</v>
      </c>
      <c r="AP34" s="238">
        <f t="shared" si="18"/>
        <v>36.033599998485791</v>
      </c>
    </row>
    <row r="35" spans="1:42" ht="22.2" x14ac:dyDescent="0.7">
      <c r="A35" s="118"/>
      <c r="B35" s="118"/>
      <c r="C35" s="118"/>
      <c r="D35" s="118"/>
      <c r="R35" s="220">
        <v>7</v>
      </c>
      <c r="S35" s="220">
        <v>22</v>
      </c>
      <c r="T35" s="220">
        <v>8</v>
      </c>
      <c r="U35" s="220">
        <f t="shared" si="0"/>
        <v>28.888888888888889</v>
      </c>
      <c r="V35" s="237">
        <f t="shared" si="9"/>
        <v>35633.333333333256</v>
      </c>
      <c r="W35" s="234">
        <v>84</v>
      </c>
      <c r="X35" s="234">
        <f t="shared" si="1"/>
        <v>28.888888888888889</v>
      </c>
      <c r="Y35" s="234">
        <v>77</v>
      </c>
      <c r="Z35" s="238">
        <f t="shared" si="2"/>
        <v>78.111142786390943</v>
      </c>
      <c r="AA35" s="238">
        <f t="shared" si="3"/>
        <v>25.617301547994991</v>
      </c>
      <c r="AB35" s="239">
        <f t="shared" si="4"/>
        <v>79.583357089793211</v>
      </c>
      <c r="AC35" s="239">
        <f t="shared" si="5"/>
        <v>26.435198383218474</v>
      </c>
      <c r="AD35" s="239">
        <f t="shared" si="10"/>
        <v>84</v>
      </c>
      <c r="AE35" s="239" t="b">
        <f t="shared" si="11"/>
        <v>0</v>
      </c>
      <c r="AF35" s="239">
        <f t="shared" si="19"/>
        <v>84</v>
      </c>
      <c r="AG35" s="239">
        <f t="shared" si="7"/>
        <v>28.888888888888889</v>
      </c>
      <c r="AH35" s="239">
        <f t="shared" si="8"/>
        <v>100</v>
      </c>
      <c r="AI35" s="238">
        <f t="shared" si="12"/>
        <v>81.636662757196348</v>
      </c>
      <c r="AJ35" s="238">
        <f t="shared" si="13"/>
        <v>77</v>
      </c>
      <c r="AK35" s="238">
        <f t="shared" si="14"/>
        <v>77</v>
      </c>
      <c r="AL35" s="238"/>
      <c r="AM35" s="240">
        <f t="shared" si="15"/>
        <v>3.1992932961042067E-2</v>
      </c>
      <c r="AN35" s="238">
        <f t="shared" si="16"/>
        <v>32.78629341524185</v>
      </c>
      <c r="AO35" s="240">
        <f t="shared" si="17"/>
        <v>3.9189417941048625E-2</v>
      </c>
      <c r="AP35" s="238">
        <f t="shared" si="18"/>
        <v>39.698880374282254</v>
      </c>
    </row>
    <row r="36" spans="1:42" ht="22.2" x14ac:dyDescent="0.7">
      <c r="R36" s="220">
        <v>7</v>
      </c>
      <c r="S36" s="220">
        <v>22</v>
      </c>
      <c r="T36" s="220">
        <v>9</v>
      </c>
      <c r="U36" s="220">
        <f t="shared" si="0"/>
        <v>31.111111111111111</v>
      </c>
      <c r="V36" s="237">
        <f t="shared" si="9"/>
        <v>35633.37499999992</v>
      </c>
      <c r="W36" s="234">
        <v>88</v>
      </c>
      <c r="X36" s="234">
        <f t="shared" si="1"/>
        <v>31.111111111111111</v>
      </c>
      <c r="Y36" s="234">
        <v>70</v>
      </c>
      <c r="Z36" s="238">
        <f t="shared" si="2"/>
        <v>79.935277066701772</v>
      </c>
      <c r="AA36" s="238">
        <f t="shared" si="3"/>
        <v>26.630709481501007</v>
      </c>
      <c r="AB36" s="239">
        <f t="shared" si="4"/>
        <v>81.951457800026333</v>
      </c>
      <c r="AC36" s="239">
        <f t="shared" si="5"/>
        <v>27.750809888903543</v>
      </c>
      <c r="AD36" s="239">
        <f t="shared" si="10"/>
        <v>88</v>
      </c>
      <c r="AE36" s="239" t="b">
        <f t="shared" si="11"/>
        <v>0</v>
      </c>
      <c r="AF36" s="239">
        <f t="shared" si="19"/>
        <v>88</v>
      </c>
      <c r="AG36" s="239">
        <f t="shared" si="7"/>
        <v>31.111111111111111</v>
      </c>
      <c r="AH36" s="239">
        <f t="shared" si="8"/>
        <v>100</v>
      </c>
      <c r="AI36" s="238">
        <f t="shared" si="12"/>
        <v>76.040530606829606</v>
      </c>
      <c r="AJ36" s="238">
        <f t="shared" si="13"/>
        <v>70</v>
      </c>
      <c r="AK36" s="238">
        <f t="shared" si="14"/>
        <v>70</v>
      </c>
      <c r="AL36" s="238"/>
      <c r="AM36" s="240">
        <f t="shared" si="15"/>
        <v>3.3845160557684766E-2</v>
      </c>
      <c r="AN36" s="238">
        <f t="shared" si="16"/>
        <v>34.805583314895152</v>
      </c>
      <c r="AO36" s="240">
        <f t="shared" si="17"/>
        <v>4.4509369263455605E-2</v>
      </c>
      <c r="AP36" s="238">
        <f t="shared" si="18"/>
        <v>45.08799106388053</v>
      </c>
    </row>
    <row r="37" spans="1:42" ht="22.2" x14ac:dyDescent="0.7">
      <c r="R37" s="220">
        <v>7</v>
      </c>
      <c r="S37" s="220">
        <v>22</v>
      </c>
      <c r="T37" s="220">
        <v>10</v>
      </c>
      <c r="U37" s="220">
        <f t="shared" si="0"/>
        <v>32.222222222222221</v>
      </c>
      <c r="V37" s="237">
        <f t="shared" si="9"/>
        <v>35633.416666666584</v>
      </c>
      <c r="W37" s="234">
        <v>90</v>
      </c>
      <c r="X37" s="234">
        <f t="shared" si="1"/>
        <v>32.222222222222221</v>
      </c>
      <c r="Y37" s="234">
        <v>68</v>
      </c>
      <c r="Z37" s="238">
        <f t="shared" si="2"/>
        <v>81.208559524438073</v>
      </c>
      <c r="AA37" s="238">
        <f t="shared" si="3"/>
        <v>27.338088624687842</v>
      </c>
      <c r="AB37" s="239">
        <f t="shared" si="4"/>
        <v>83.406419643328547</v>
      </c>
      <c r="AC37" s="239">
        <f t="shared" si="5"/>
        <v>28.559122024071439</v>
      </c>
      <c r="AD37" s="239">
        <f t="shared" si="10"/>
        <v>90</v>
      </c>
      <c r="AE37" s="239" t="b">
        <f t="shared" si="11"/>
        <v>0</v>
      </c>
      <c r="AF37" s="239">
        <f t="shared" si="19"/>
        <v>90</v>
      </c>
      <c r="AG37" s="239">
        <f t="shared" si="7"/>
        <v>32.222222222222221</v>
      </c>
      <c r="AH37" s="239">
        <f t="shared" si="8"/>
        <v>100</v>
      </c>
      <c r="AI37" s="238">
        <f t="shared" si="12"/>
        <v>74.371750385296593</v>
      </c>
      <c r="AJ37" s="238">
        <f t="shared" si="13"/>
        <v>68</v>
      </c>
      <c r="AK37" s="238">
        <f t="shared" si="14"/>
        <v>68</v>
      </c>
      <c r="AL37" s="238"/>
      <c r="AM37" s="240">
        <f t="shared" si="15"/>
        <v>3.5250023209871223E-2</v>
      </c>
      <c r="AN37" s="238">
        <f t="shared" si="16"/>
        <v>36.278515564041754</v>
      </c>
      <c r="AO37" s="240">
        <f t="shared" si="17"/>
        <v>4.7397060076241275E-2</v>
      </c>
      <c r="AP37" s="238">
        <f t="shared" si="18"/>
        <v>48.013221857232409</v>
      </c>
    </row>
    <row r="38" spans="1:42" ht="22.2" x14ac:dyDescent="0.7">
      <c r="A38" s="118"/>
      <c r="B38" s="118"/>
      <c r="C38" s="118"/>
      <c r="D38" s="118"/>
      <c r="R38" s="220">
        <v>7</v>
      </c>
      <c r="S38" s="220">
        <v>22</v>
      </c>
      <c r="T38" s="220">
        <v>11</v>
      </c>
      <c r="U38" s="220">
        <f t="shared" si="0"/>
        <v>33.333333333333336</v>
      </c>
      <c r="V38" s="237">
        <f t="shared" si="9"/>
        <v>35633.458333333248</v>
      </c>
      <c r="W38" s="234">
        <v>92</v>
      </c>
      <c r="X38" s="234">
        <f t="shared" si="1"/>
        <v>33.333333333333336</v>
      </c>
      <c r="Y38" s="234">
        <v>60</v>
      </c>
      <c r="Z38" s="238">
        <f t="shared" si="2"/>
        <v>80.583270524501287</v>
      </c>
      <c r="AA38" s="238">
        <f t="shared" si="3"/>
        <v>26.990705846945183</v>
      </c>
      <c r="AB38" s="239">
        <f t="shared" si="4"/>
        <v>83.437452893375962</v>
      </c>
      <c r="AC38" s="239">
        <f t="shared" si="5"/>
        <v>28.576362718542224</v>
      </c>
      <c r="AD38" s="239">
        <f t="shared" si="10"/>
        <v>92</v>
      </c>
      <c r="AE38" s="239" t="b">
        <f t="shared" si="11"/>
        <v>0</v>
      </c>
      <c r="AF38" s="239">
        <f t="shared" si="19"/>
        <v>92</v>
      </c>
      <c r="AG38" s="239">
        <f t="shared" si="7"/>
        <v>33.333333333333336</v>
      </c>
      <c r="AH38" s="239">
        <f t="shared" si="8"/>
        <v>100</v>
      </c>
      <c r="AI38" s="238">
        <f t="shared" si="12"/>
        <v>68.119578009918868</v>
      </c>
      <c r="AJ38" s="238">
        <f t="shared" si="13"/>
        <v>60</v>
      </c>
      <c r="AK38" s="238">
        <f t="shared" si="14"/>
        <v>60</v>
      </c>
      <c r="AL38" s="238"/>
      <c r="AM38" s="240">
        <f t="shared" si="15"/>
        <v>3.4363665512910237E-2</v>
      </c>
      <c r="AN38" s="238">
        <f t="shared" si="16"/>
        <v>35.548536294400961</v>
      </c>
      <c r="AO38" s="240">
        <f t="shared" si="17"/>
        <v>5.0446092763385228E-2</v>
      </c>
      <c r="AP38" s="238">
        <f t="shared" si="18"/>
        <v>51.101891969309236</v>
      </c>
    </row>
    <row r="39" spans="1:42" ht="22.2" x14ac:dyDescent="0.7">
      <c r="A39" s="118"/>
      <c r="B39" s="118"/>
      <c r="C39" s="118"/>
      <c r="D39" s="118"/>
      <c r="R39" s="220">
        <v>7</v>
      </c>
      <c r="S39" s="220">
        <v>22</v>
      </c>
      <c r="T39" s="220">
        <v>12</v>
      </c>
      <c r="U39" s="220">
        <f t="shared" si="0"/>
        <v>33.888888888888886</v>
      </c>
      <c r="V39" s="237">
        <f t="shared" si="9"/>
        <v>35633.499999999913</v>
      </c>
      <c r="W39" s="234">
        <v>93</v>
      </c>
      <c r="X39" s="234">
        <f t="shared" si="1"/>
        <v>33.888888888888886</v>
      </c>
      <c r="Y39" s="234">
        <v>56</v>
      </c>
      <c r="Z39" s="238">
        <f t="shared" si="2"/>
        <v>80.181041609497072</v>
      </c>
      <c r="AA39" s="238">
        <f t="shared" si="3"/>
        <v>26.767245338609506</v>
      </c>
      <c r="AB39" s="239">
        <f t="shared" si="4"/>
        <v>83.385781207122804</v>
      </c>
      <c r="AC39" s="239">
        <f t="shared" si="5"/>
        <v>28.54765622617936</v>
      </c>
      <c r="AD39" s="239">
        <f t="shared" si="10"/>
        <v>93</v>
      </c>
      <c r="AE39" s="239" t="b">
        <f t="shared" si="11"/>
        <v>0</v>
      </c>
      <c r="AF39" s="239">
        <f t="shared" si="19"/>
        <v>93</v>
      </c>
      <c r="AG39" s="239">
        <f t="shared" si="7"/>
        <v>33.888888888888886</v>
      </c>
      <c r="AH39" s="239">
        <f t="shared" si="8"/>
        <v>100</v>
      </c>
      <c r="AI39" s="238">
        <f t="shared" si="12"/>
        <v>64.994648860764499</v>
      </c>
      <c r="AJ39" s="238">
        <f t="shared" si="13"/>
        <v>56</v>
      </c>
      <c r="AK39" s="238">
        <f t="shared" si="14"/>
        <v>56</v>
      </c>
      <c r="AL39" s="238"/>
      <c r="AM39" s="240">
        <f t="shared" si="15"/>
        <v>3.3818950143921361E-2</v>
      </c>
      <c r="AN39" s="238">
        <f t="shared" si="16"/>
        <v>35.085755086741834</v>
      </c>
      <c r="AO39" s="240">
        <f t="shared" si="17"/>
        <v>5.2033437731728312E-2</v>
      </c>
      <c r="AP39" s="238">
        <f t="shared" si="18"/>
        <v>52.709872422240778</v>
      </c>
    </row>
    <row r="40" spans="1:42" ht="22.2" x14ac:dyDescent="0.7">
      <c r="A40" s="118"/>
      <c r="B40" s="118"/>
      <c r="C40" s="118"/>
      <c r="D40" s="118"/>
      <c r="R40" s="220">
        <v>7</v>
      </c>
      <c r="S40" s="220">
        <v>22</v>
      </c>
      <c r="T40" s="220">
        <v>13</v>
      </c>
      <c r="U40" s="220">
        <f t="shared" si="0"/>
        <v>34.444444444444443</v>
      </c>
      <c r="V40" s="237">
        <f t="shared" si="9"/>
        <v>35633.541666666577</v>
      </c>
      <c r="W40" s="234">
        <v>94</v>
      </c>
      <c r="X40" s="234">
        <f t="shared" si="1"/>
        <v>34.444444444444443</v>
      </c>
      <c r="Y40" s="234">
        <v>54</v>
      </c>
      <c r="Z40" s="238">
        <f t="shared" si="2"/>
        <v>80.392019090212528</v>
      </c>
      <c r="AA40" s="238">
        <f t="shared" si="3"/>
        <v>26.884455050118095</v>
      </c>
      <c r="AB40" s="239">
        <f t="shared" si="4"/>
        <v>83.794014317659389</v>
      </c>
      <c r="AC40" s="239">
        <f t="shared" si="5"/>
        <v>28.774452398699687</v>
      </c>
      <c r="AD40" s="239">
        <f t="shared" si="10"/>
        <v>94</v>
      </c>
      <c r="AE40" s="239" t="b">
        <f t="shared" si="11"/>
        <v>0</v>
      </c>
      <c r="AF40" s="239">
        <f t="shared" si="19"/>
        <v>94</v>
      </c>
      <c r="AG40" s="239">
        <f t="shared" si="7"/>
        <v>34.444444444444443</v>
      </c>
      <c r="AH40" s="239">
        <f t="shared" si="8"/>
        <v>100</v>
      </c>
      <c r="AI40" s="238">
        <f t="shared" si="12"/>
        <v>63.370425906253736</v>
      </c>
      <c r="AJ40" s="238">
        <f t="shared" si="13"/>
        <v>54</v>
      </c>
      <c r="AK40" s="238">
        <f t="shared" si="14"/>
        <v>54</v>
      </c>
      <c r="AL40" s="238"/>
      <c r="AM40" s="240">
        <f t="shared" si="15"/>
        <v>3.4007068579557813E-2</v>
      </c>
      <c r="AN40" s="238">
        <f t="shared" si="16"/>
        <v>35.327834742840679</v>
      </c>
      <c r="AO40" s="240">
        <f t="shared" si="17"/>
        <v>5.3663941962242376E-2</v>
      </c>
      <c r="AP40" s="238">
        <f t="shared" si="18"/>
        <v>54.361573207751526</v>
      </c>
    </row>
    <row r="41" spans="1:42" ht="22.2" x14ac:dyDescent="0.7">
      <c r="A41" s="118"/>
      <c r="B41" s="118"/>
      <c r="C41" s="118"/>
      <c r="D41" s="118"/>
      <c r="R41" s="220">
        <v>7</v>
      </c>
      <c r="S41" s="220">
        <v>22</v>
      </c>
      <c r="T41" s="220">
        <v>14</v>
      </c>
      <c r="U41" s="220">
        <f t="shared" si="0"/>
        <v>35</v>
      </c>
      <c r="V41" s="237">
        <f t="shared" si="9"/>
        <v>35633.583333333241</v>
      </c>
      <c r="W41" s="234">
        <v>95</v>
      </c>
      <c r="X41" s="234">
        <f t="shared" si="1"/>
        <v>35</v>
      </c>
      <c r="Y41" s="234">
        <v>53</v>
      </c>
      <c r="Z41" s="238">
        <f t="shared" si="2"/>
        <v>80.923562965539361</v>
      </c>
      <c r="AA41" s="238">
        <f t="shared" si="3"/>
        <v>27.179757203077447</v>
      </c>
      <c r="AB41" s="239">
        <f t="shared" si="4"/>
        <v>84.442672224154521</v>
      </c>
      <c r="AC41" s="239">
        <f t="shared" si="5"/>
        <v>29.134817902308093</v>
      </c>
      <c r="AD41" s="239">
        <f t="shared" si="10"/>
        <v>95</v>
      </c>
      <c r="AE41" s="239" t="b">
        <f t="shared" si="11"/>
        <v>0</v>
      </c>
      <c r="AF41" s="239">
        <f t="shared" si="19"/>
        <v>95</v>
      </c>
      <c r="AG41" s="239">
        <f t="shared" si="7"/>
        <v>35</v>
      </c>
      <c r="AH41" s="239">
        <f t="shared" si="8"/>
        <v>100</v>
      </c>
      <c r="AI41" s="238">
        <f t="shared" si="12"/>
        <v>62.494871481693423</v>
      </c>
      <c r="AJ41" s="238">
        <f t="shared" si="13"/>
        <v>53</v>
      </c>
      <c r="AK41" s="238">
        <f t="shared" si="14"/>
        <v>53</v>
      </c>
      <c r="AL41" s="238"/>
      <c r="AM41" s="240">
        <f t="shared" si="15"/>
        <v>3.4583775537867525E-2</v>
      </c>
      <c r="AN41" s="238">
        <f t="shared" si="16"/>
        <v>35.944199766255032</v>
      </c>
      <c r="AO41" s="240">
        <f t="shared" si="17"/>
        <v>5.5338581739460213E-2</v>
      </c>
      <c r="AP41" s="238">
        <f t="shared" si="18"/>
        <v>56.057983302073197</v>
      </c>
    </row>
    <row r="42" spans="1:42" ht="22.2" x14ac:dyDescent="0.7">
      <c r="A42" s="118"/>
      <c r="B42" s="118"/>
      <c r="C42" s="118"/>
      <c r="D42" s="118"/>
      <c r="R42" s="220">
        <v>7</v>
      </c>
      <c r="S42" s="220">
        <v>22</v>
      </c>
      <c r="T42" s="220">
        <v>15</v>
      </c>
      <c r="U42" s="220">
        <f t="shared" si="0"/>
        <v>35</v>
      </c>
      <c r="V42" s="237">
        <f t="shared" si="9"/>
        <v>35633.624999999905</v>
      </c>
      <c r="W42" s="234">
        <v>95</v>
      </c>
      <c r="X42" s="234">
        <f t="shared" si="1"/>
        <v>35</v>
      </c>
      <c r="Y42" s="234">
        <v>49</v>
      </c>
      <c r="Z42" s="238">
        <f t="shared" si="2"/>
        <v>79.514659106763773</v>
      </c>
      <c r="AA42" s="238">
        <f t="shared" si="3"/>
        <v>26.397032837091007</v>
      </c>
      <c r="AB42" s="239">
        <f t="shared" si="4"/>
        <v>83.385994330072833</v>
      </c>
      <c r="AC42" s="239">
        <f t="shared" si="5"/>
        <v>28.547774627818264</v>
      </c>
      <c r="AD42" s="239">
        <f t="shared" si="10"/>
        <v>95</v>
      </c>
      <c r="AE42" s="239" t="b">
        <f t="shared" si="11"/>
        <v>0</v>
      </c>
      <c r="AF42" s="239">
        <f t="shared" si="19"/>
        <v>95</v>
      </c>
      <c r="AG42" s="239">
        <f t="shared" si="7"/>
        <v>35</v>
      </c>
      <c r="AH42" s="239">
        <f t="shared" si="8"/>
        <v>100</v>
      </c>
      <c r="AI42" s="238">
        <f t="shared" si="12"/>
        <v>59.464708594212432</v>
      </c>
      <c r="AJ42" s="238">
        <f t="shared" si="13"/>
        <v>49</v>
      </c>
      <c r="AK42" s="238">
        <f t="shared" si="14"/>
        <v>49</v>
      </c>
      <c r="AL42" s="238"/>
      <c r="AM42" s="240">
        <f t="shared" si="15"/>
        <v>3.2906926371540073E-2</v>
      </c>
      <c r="AN42" s="238">
        <f t="shared" si="16"/>
        <v>34.330599440074863</v>
      </c>
      <c r="AO42" s="240">
        <f t="shared" si="17"/>
        <v>5.5338581739460213E-2</v>
      </c>
      <c r="AP42" s="238">
        <f t="shared" si="18"/>
        <v>56.057983302073197</v>
      </c>
    </row>
    <row r="43" spans="1:42" ht="22.2" x14ac:dyDescent="0.7">
      <c r="A43" s="118"/>
      <c r="B43" s="118"/>
      <c r="C43" s="118"/>
      <c r="D43" s="118"/>
      <c r="R43" s="220">
        <v>7</v>
      </c>
      <c r="S43" s="220">
        <v>22</v>
      </c>
      <c r="T43" s="220">
        <v>16</v>
      </c>
      <c r="U43" s="220">
        <f t="shared" si="0"/>
        <v>35.555555555555557</v>
      </c>
      <c r="V43" s="237">
        <f t="shared" si="9"/>
        <v>35633.66666666657</v>
      </c>
      <c r="W43" s="234">
        <v>96</v>
      </c>
      <c r="X43" s="234">
        <f t="shared" si="1"/>
        <v>35.555555555555557</v>
      </c>
      <c r="Y43" s="234">
        <v>49</v>
      </c>
      <c r="Z43" s="238">
        <f t="shared" si="2"/>
        <v>80.370091005331943</v>
      </c>
      <c r="AA43" s="238">
        <f t="shared" si="3"/>
        <v>26.872272780739991</v>
      </c>
      <c r="AB43" s="239">
        <f t="shared" si="4"/>
        <v>84.277568253998965</v>
      </c>
      <c r="AC43" s="239">
        <f t="shared" si="5"/>
        <v>29.043093474443893</v>
      </c>
      <c r="AD43" s="239">
        <f t="shared" si="10"/>
        <v>96</v>
      </c>
      <c r="AE43" s="239" t="b">
        <f t="shared" si="11"/>
        <v>0</v>
      </c>
      <c r="AF43" s="239">
        <f t="shared" si="19"/>
        <v>96</v>
      </c>
      <c r="AG43" s="239">
        <f t="shared" si="7"/>
        <v>35.555555555555557</v>
      </c>
      <c r="AH43" s="239">
        <f t="shared" si="8"/>
        <v>100</v>
      </c>
      <c r="AI43" s="238">
        <f t="shared" si="12"/>
        <v>59.331963248797869</v>
      </c>
      <c r="AJ43" s="238">
        <f t="shared" si="13"/>
        <v>49</v>
      </c>
      <c r="AK43" s="238">
        <f t="shared" si="14"/>
        <v>49</v>
      </c>
      <c r="AL43" s="238"/>
      <c r="AM43" s="240">
        <f t="shared" si="15"/>
        <v>3.3853839552751057E-2</v>
      </c>
      <c r="AN43" s="238">
        <f t="shared" si="16"/>
        <v>35.302606466206292</v>
      </c>
      <c r="AO43" s="240">
        <f t="shared" si="17"/>
        <v>5.7058350506271123E-2</v>
      </c>
      <c r="AP43" s="238">
        <f t="shared" si="18"/>
        <v>57.800109062852648</v>
      </c>
    </row>
    <row r="44" spans="1:42" ht="22.2" x14ac:dyDescent="0.7">
      <c r="A44" s="118"/>
      <c r="B44" s="118"/>
      <c r="C44" s="118"/>
      <c r="D44" s="118"/>
      <c r="R44" s="220">
        <v>7</v>
      </c>
      <c r="S44" s="220">
        <v>22</v>
      </c>
      <c r="T44" s="220">
        <v>17</v>
      </c>
      <c r="U44" s="220">
        <f t="shared" si="0"/>
        <v>35</v>
      </c>
      <c r="V44" s="237">
        <f t="shared" si="9"/>
        <v>35633.708333333234</v>
      </c>
      <c r="W44" s="234">
        <v>95</v>
      </c>
      <c r="X44" s="234">
        <f t="shared" si="1"/>
        <v>35</v>
      </c>
      <c r="Y44" s="234">
        <v>49</v>
      </c>
      <c r="Z44" s="238">
        <f t="shared" si="2"/>
        <v>79.514659106763773</v>
      </c>
      <c r="AA44" s="238">
        <f t="shared" si="3"/>
        <v>26.397032837091007</v>
      </c>
      <c r="AB44" s="239">
        <f t="shared" si="4"/>
        <v>83.385994330072833</v>
      </c>
      <c r="AC44" s="239">
        <f t="shared" si="5"/>
        <v>28.547774627818264</v>
      </c>
      <c r="AD44" s="239">
        <f t="shared" si="10"/>
        <v>95</v>
      </c>
      <c r="AE44" s="239" t="b">
        <f t="shared" si="11"/>
        <v>0</v>
      </c>
      <c r="AF44" s="239">
        <f t="shared" si="19"/>
        <v>95</v>
      </c>
      <c r="AG44" s="239">
        <f t="shared" si="7"/>
        <v>35</v>
      </c>
      <c r="AH44" s="239">
        <f t="shared" si="8"/>
        <v>100</v>
      </c>
      <c r="AI44" s="238">
        <f t="shared" si="12"/>
        <v>59.464708594212432</v>
      </c>
      <c r="AJ44" s="238">
        <f t="shared" si="13"/>
        <v>49</v>
      </c>
      <c r="AK44" s="238">
        <f t="shared" si="14"/>
        <v>49</v>
      </c>
      <c r="AL44" s="238"/>
      <c r="AM44" s="240">
        <f t="shared" si="15"/>
        <v>3.2906926371540073E-2</v>
      </c>
      <c r="AN44" s="238">
        <f t="shared" si="16"/>
        <v>34.330599440074863</v>
      </c>
      <c r="AO44" s="240">
        <f t="shared" si="17"/>
        <v>5.5338581739460213E-2</v>
      </c>
      <c r="AP44" s="238">
        <f t="shared" si="18"/>
        <v>56.057983302073197</v>
      </c>
    </row>
    <row r="45" spans="1:42" ht="22.2" x14ac:dyDescent="0.7">
      <c r="A45" s="118"/>
      <c r="B45" s="118"/>
      <c r="C45" s="118"/>
      <c r="D45" s="118"/>
      <c r="R45" s="220">
        <v>7</v>
      </c>
      <c r="S45" s="220">
        <v>22</v>
      </c>
      <c r="T45" s="220">
        <v>18</v>
      </c>
      <c r="U45" s="220">
        <f t="shared" si="0"/>
        <v>33.888888888888886</v>
      </c>
      <c r="V45" s="237">
        <f t="shared" si="9"/>
        <v>35633.749999999898</v>
      </c>
      <c r="W45" s="234">
        <v>93</v>
      </c>
      <c r="X45" s="234">
        <f t="shared" si="1"/>
        <v>33.888888888888886</v>
      </c>
      <c r="Y45" s="234">
        <v>54</v>
      </c>
      <c r="Z45" s="238">
        <f t="shared" si="2"/>
        <v>79.515958963418925</v>
      </c>
      <c r="AA45" s="238">
        <f t="shared" si="3"/>
        <v>26.397754979677202</v>
      </c>
      <c r="AB45" s="239">
        <f t="shared" si="4"/>
        <v>82.88696922256419</v>
      </c>
      <c r="AC45" s="239">
        <f t="shared" si="5"/>
        <v>28.27053845698013</v>
      </c>
      <c r="AD45" s="239">
        <f t="shared" si="10"/>
        <v>93</v>
      </c>
      <c r="AE45" s="239" t="b">
        <f t="shared" si="11"/>
        <v>0</v>
      </c>
      <c r="AF45" s="239">
        <f t="shared" si="19"/>
        <v>93</v>
      </c>
      <c r="AG45" s="239">
        <f t="shared" si="7"/>
        <v>33.888888888888886</v>
      </c>
      <c r="AH45" s="239">
        <f t="shared" si="8"/>
        <v>100</v>
      </c>
      <c r="AI45" s="238">
        <f t="shared" si="12"/>
        <v>63.488059027097151</v>
      </c>
      <c r="AJ45" s="238">
        <f t="shared" si="13"/>
        <v>54</v>
      </c>
      <c r="AK45" s="238">
        <f t="shared" si="14"/>
        <v>54</v>
      </c>
      <c r="AL45" s="238"/>
      <c r="AM45" s="240">
        <f t="shared" si="15"/>
        <v>3.3035019660947511E-2</v>
      </c>
      <c r="AN45" s="238">
        <f t="shared" si="16"/>
        <v>34.332058561636593</v>
      </c>
      <c r="AO45" s="240">
        <f t="shared" si="17"/>
        <v>5.2033437731728312E-2</v>
      </c>
      <c r="AP45" s="238">
        <f t="shared" si="18"/>
        <v>52.709872422240778</v>
      </c>
    </row>
    <row r="46" spans="1:42" ht="22.2" x14ac:dyDescent="0.7">
      <c r="A46" s="118"/>
      <c r="B46" s="118"/>
      <c r="C46" s="118"/>
      <c r="D46" s="118"/>
      <c r="R46" s="220">
        <v>7</v>
      </c>
      <c r="S46" s="220">
        <v>22</v>
      </c>
      <c r="T46" s="220">
        <v>19</v>
      </c>
      <c r="U46" s="220">
        <f t="shared" si="0"/>
        <v>32.777777777777779</v>
      </c>
      <c r="V46" s="237">
        <f t="shared" si="9"/>
        <v>35633.791666666562</v>
      </c>
      <c r="W46" s="234">
        <v>91</v>
      </c>
      <c r="X46" s="234">
        <f t="shared" si="1"/>
        <v>32.777777777777779</v>
      </c>
      <c r="Y46" s="234">
        <v>60</v>
      </c>
      <c r="Z46" s="238">
        <f t="shared" si="2"/>
        <v>79.68471791757166</v>
      </c>
      <c r="AA46" s="238">
        <f t="shared" si="3"/>
        <v>26.491509954206499</v>
      </c>
      <c r="AB46" s="239">
        <f t="shared" si="4"/>
        <v>82.513538438178742</v>
      </c>
      <c r="AC46" s="239">
        <f t="shared" si="5"/>
        <v>28.063076910099326</v>
      </c>
      <c r="AD46" s="239">
        <f t="shared" si="10"/>
        <v>91</v>
      </c>
      <c r="AE46" s="239" t="b">
        <f t="shared" si="11"/>
        <v>0</v>
      </c>
      <c r="AF46" s="239">
        <f t="shared" si="19"/>
        <v>91</v>
      </c>
      <c r="AG46" s="239">
        <f t="shared" si="7"/>
        <v>32.777777777777779</v>
      </c>
      <c r="AH46" s="239">
        <f t="shared" si="8"/>
        <v>100</v>
      </c>
      <c r="AI46" s="238">
        <f t="shared" si="12"/>
        <v>68.218259300304481</v>
      </c>
      <c r="AJ46" s="238">
        <f t="shared" si="13"/>
        <v>60</v>
      </c>
      <c r="AK46" s="238">
        <f t="shared" si="14"/>
        <v>60</v>
      </c>
      <c r="AL46" s="238"/>
      <c r="AM46" s="240">
        <f t="shared" si="15"/>
        <v>3.3359375324456882E-2</v>
      </c>
      <c r="AN46" s="238">
        <f t="shared" si="16"/>
        <v>34.521954224876509</v>
      </c>
      <c r="AO46" s="240">
        <f t="shared" si="17"/>
        <v>4.8900947732490714E-2</v>
      </c>
      <c r="AP46" s="238">
        <f t="shared" si="18"/>
        <v>49.536660053013094</v>
      </c>
    </row>
    <row r="47" spans="1:42" ht="22.2" x14ac:dyDescent="0.7">
      <c r="A47" s="118"/>
      <c r="B47" s="118"/>
      <c r="C47" s="118"/>
      <c r="D47" s="118"/>
      <c r="R47" s="220">
        <v>7</v>
      </c>
      <c r="S47" s="220">
        <v>22</v>
      </c>
      <c r="T47" s="220">
        <v>20</v>
      </c>
      <c r="U47" s="220">
        <f t="shared" si="0"/>
        <v>29.444444444444443</v>
      </c>
      <c r="V47" s="237">
        <f t="shared" si="9"/>
        <v>35633.833333333227</v>
      </c>
      <c r="W47" s="234">
        <v>85</v>
      </c>
      <c r="X47" s="234">
        <f t="shared" si="1"/>
        <v>29.444444444444443</v>
      </c>
      <c r="Y47" s="234">
        <v>75</v>
      </c>
      <c r="Z47" s="238">
        <f t="shared" si="2"/>
        <v>78.518599487306759</v>
      </c>
      <c r="AA47" s="238">
        <f t="shared" si="3"/>
        <v>25.84366638183711</v>
      </c>
      <c r="AB47" s="239">
        <f t="shared" si="4"/>
        <v>80.138949615480072</v>
      </c>
      <c r="AC47" s="239">
        <f t="shared" si="5"/>
        <v>26.74386089748895</v>
      </c>
      <c r="AD47" s="239">
        <f t="shared" si="10"/>
        <v>85</v>
      </c>
      <c r="AE47" s="239" t="b">
        <f t="shared" si="11"/>
        <v>0</v>
      </c>
      <c r="AF47" s="239">
        <f t="shared" si="19"/>
        <v>85</v>
      </c>
      <c r="AG47" s="239">
        <f t="shared" si="7"/>
        <v>29.444444444444443</v>
      </c>
      <c r="AH47" s="239">
        <f t="shared" si="8"/>
        <v>100</v>
      </c>
      <c r="AI47" s="238">
        <f t="shared" si="12"/>
        <v>80.047990254939521</v>
      </c>
      <c r="AJ47" s="238">
        <f t="shared" si="13"/>
        <v>75</v>
      </c>
      <c r="AK47" s="238">
        <f t="shared" si="14"/>
        <v>75</v>
      </c>
      <c r="AL47" s="238"/>
      <c r="AM47" s="240">
        <f t="shared" si="15"/>
        <v>3.2391132093113402E-2</v>
      </c>
      <c r="AN47" s="238">
        <f t="shared" si="16"/>
        <v>33.22825680724003</v>
      </c>
      <c r="AO47" s="240">
        <f t="shared" si="17"/>
        <v>4.0464641260765002E-2</v>
      </c>
      <c r="AP47" s="238">
        <f t="shared" si="18"/>
        <v>40.990681597154946</v>
      </c>
    </row>
    <row r="48" spans="1:42" ht="22.2" x14ac:dyDescent="0.7">
      <c r="A48" s="118"/>
      <c r="B48" s="118"/>
      <c r="C48" s="118"/>
      <c r="D48" s="118"/>
      <c r="R48" s="220">
        <v>7</v>
      </c>
      <c r="S48" s="220">
        <v>22</v>
      </c>
      <c r="T48" s="220">
        <v>21</v>
      </c>
      <c r="U48" s="220">
        <f t="shared" si="0"/>
        <v>27.777777777777779</v>
      </c>
      <c r="V48" s="237">
        <f t="shared" si="9"/>
        <v>35633.874999999891</v>
      </c>
      <c r="W48" s="234">
        <v>82</v>
      </c>
      <c r="X48" s="234">
        <f t="shared" si="1"/>
        <v>27.777777777777779</v>
      </c>
      <c r="Y48" s="234">
        <v>82</v>
      </c>
      <c r="Z48" s="238">
        <f t="shared" si="2"/>
        <v>77.514003918765923</v>
      </c>
      <c r="AA48" s="238">
        <f t="shared" si="3"/>
        <v>25.285557732647757</v>
      </c>
      <c r="AB48" s="239">
        <f t="shared" si="4"/>
        <v>78.635502939074442</v>
      </c>
      <c r="AC48" s="239">
        <f t="shared" si="5"/>
        <v>25.908612743930266</v>
      </c>
      <c r="AD48" s="239">
        <f t="shared" si="10"/>
        <v>82</v>
      </c>
      <c r="AE48" s="239" t="b">
        <f t="shared" si="11"/>
        <v>0</v>
      </c>
      <c r="AF48" s="239">
        <f t="shared" si="19"/>
        <v>82</v>
      </c>
      <c r="AG48" s="239">
        <f t="shared" si="7"/>
        <v>27.777777777777779</v>
      </c>
      <c r="AH48" s="239">
        <f t="shared" si="8"/>
        <v>100</v>
      </c>
      <c r="AI48" s="238">
        <f t="shared" si="12"/>
        <v>85.598843261179923</v>
      </c>
      <c r="AJ48" s="238">
        <f t="shared" si="13"/>
        <v>82</v>
      </c>
      <c r="AK48" s="238">
        <f t="shared" si="14"/>
        <v>82</v>
      </c>
      <c r="AL48" s="238"/>
      <c r="AM48" s="240">
        <f t="shared" si="15"/>
        <v>3.1452004702370737E-2</v>
      </c>
      <c r="AN48" s="238">
        <f t="shared" si="16"/>
        <v>32.147843614261717</v>
      </c>
      <c r="AO48" s="240">
        <f t="shared" si="17"/>
        <v>3.6743492673614889E-2</v>
      </c>
      <c r="AP48" s="238">
        <f t="shared" si="18"/>
        <v>37.221158078371879</v>
      </c>
    </row>
    <row r="49" spans="1:42" ht="22.2" x14ac:dyDescent="0.7">
      <c r="A49" s="118"/>
      <c r="B49" s="118"/>
      <c r="C49" s="118"/>
      <c r="D49" s="118"/>
      <c r="R49" s="220">
        <v>7</v>
      </c>
      <c r="S49" s="220">
        <v>22</v>
      </c>
      <c r="T49" s="220">
        <v>22</v>
      </c>
      <c r="U49" s="220">
        <f t="shared" si="0"/>
        <v>28.888888888888889</v>
      </c>
      <c r="V49" s="237">
        <f t="shared" si="9"/>
        <v>35633.916666666555</v>
      </c>
      <c r="W49" s="234">
        <v>84</v>
      </c>
      <c r="X49" s="234">
        <f t="shared" si="1"/>
        <v>28.888888888888889</v>
      </c>
      <c r="Y49" s="234">
        <v>77</v>
      </c>
      <c r="Z49" s="238">
        <f t="shared" si="2"/>
        <v>78.111142786390943</v>
      </c>
      <c r="AA49" s="238">
        <f t="shared" si="3"/>
        <v>25.617301547994991</v>
      </c>
      <c r="AB49" s="239">
        <f t="shared" si="4"/>
        <v>79.583357089793211</v>
      </c>
      <c r="AC49" s="239">
        <f t="shared" si="5"/>
        <v>26.435198383218474</v>
      </c>
      <c r="AD49" s="239">
        <f t="shared" si="10"/>
        <v>84</v>
      </c>
      <c r="AE49" s="239" t="b">
        <f t="shared" si="11"/>
        <v>0</v>
      </c>
      <c r="AF49" s="239">
        <f t="shared" si="19"/>
        <v>84</v>
      </c>
      <c r="AG49" s="239">
        <f t="shared" si="7"/>
        <v>28.888888888888889</v>
      </c>
      <c r="AH49" s="239">
        <f t="shared" si="8"/>
        <v>100</v>
      </c>
      <c r="AI49" s="238">
        <f t="shared" si="12"/>
        <v>81.636662757196348</v>
      </c>
      <c r="AJ49" s="238">
        <f t="shared" si="13"/>
        <v>77</v>
      </c>
      <c r="AK49" s="238">
        <f t="shared" si="14"/>
        <v>77</v>
      </c>
      <c r="AL49" s="238"/>
      <c r="AM49" s="240">
        <f t="shared" si="15"/>
        <v>3.1992932961042067E-2</v>
      </c>
      <c r="AN49" s="238">
        <f t="shared" si="16"/>
        <v>32.78629341524185</v>
      </c>
      <c r="AO49" s="240">
        <f t="shared" si="17"/>
        <v>3.9189417941048625E-2</v>
      </c>
      <c r="AP49" s="238">
        <f t="shared" si="18"/>
        <v>39.698880374282254</v>
      </c>
    </row>
    <row r="50" spans="1:42" ht="22.2" x14ac:dyDescent="0.7">
      <c r="A50" s="118"/>
      <c r="B50" s="118"/>
      <c r="C50" s="118"/>
      <c r="D50" s="118"/>
      <c r="R50" s="220">
        <v>7</v>
      </c>
      <c r="S50" s="220">
        <v>22</v>
      </c>
      <c r="T50" s="220">
        <v>23</v>
      </c>
      <c r="U50" s="220">
        <f t="shared" si="0"/>
        <v>27.777777777777779</v>
      </c>
      <c r="V50" s="237">
        <f t="shared" si="9"/>
        <v>35633.958333333219</v>
      </c>
      <c r="W50" s="234">
        <v>82</v>
      </c>
      <c r="X50" s="234">
        <f t="shared" si="1"/>
        <v>27.777777777777779</v>
      </c>
      <c r="Y50" s="234">
        <v>82</v>
      </c>
      <c r="Z50" s="238">
        <f t="shared" si="2"/>
        <v>77.514003918765923</v>
      </c>
      <c r="AA50" s="238">
        <f t="shared" si="3"/>
        <v>25.285557732647757</v>
      </c>
      <c r="AB50" s="239">
        <f t="shared" si="4"/>
        <v>78.635502939074442</v>
      </c>
      <c r="AC50" s="239">
        <f t="shared" si="5"/>
        <v>25.908612743930266</v>
      </c>
      <c r="AD50" s="239">
        <f t="shared" si="10"/>
        <v>82</v>
      </c>
      <c r="AE50" s="239" t="b">
        <f t="shared" si="11"/>
        <v>0</v>
      </c>
      <c r="AF50" s="239">
        <f t="shared" si="19"/>
        <v>82</v>
      </c>
      <c r="AG50" s="239">
        <f t="shared" si="7"/>
        <v>27.777777777777779</v>
      </c>
      <c r="AH50" s="239">
        <f t="shared" si="8"/>
        <v>100</v>
      </c>
      <c r="AI50" s="238">
        <f t="shared" si="12"/>
        <v>85.598843261179923</v>
      </c>
      <c r="AJ50" s="238">
        <f t="shared" si="13"/>
        <v>82</v>
      </c>
      <c r="AK50" s="238">
        <f t="shared" si="14"/>
        <v>82</v>
      </c>
      <c r="AL50" s="238"/>
      <c r="AM50" s="240">
        <f t="shared" si="15"/>
        <v>3.1452004702370737E-2</v>
      </c>
      <c r="AN50" s="238">
        <f t="shared" si="16"/>
        <v>32.147843614261717</v>
      </c>
      <c r="AO50" s="240">
        <f t="shared" si="17"/>
        <v>3.6743492673614889E-2</v>
      </c>
      <c r="AP50" s="238">
        <f t="shared" si="18"/>
        <v>37.221158078371879</v>
      </c>
    </row>
    <row r="51" spans="1:42" ht="22.2" x14ac:dyDescent="0.7">
      <c r="A51" s="118"/>
      <c r="B51" s="118"/>
      <c r="C51" s="118"/>
      <c r="D51" s="118"/>
      <c r="R51" s="220">
        <v>7</v>
      </c>
      <c r="S51" s="220">
        <v>22</v>
      </c>
      <c r="T51" s="220">
        <v>24</v>
      </c>
      <c r="U51" s="220">
        <f t="shared" si="0"/>
        <v>27.222222222222221</v>
      </c>
      <c r="V51" s="237">
        <f t="shared" si="9"/>
        <v>35633.999999999884</v>
      </c>
      <c r="W51" s="234">
        <v>81</v>
      </c>
      <c r="X51" s="234">
        <f t="shared" si="1"/>
        <v>27.222222222222221</v>
      </c>
      <c r="Y51" s="234">
        <v>85</v>
      </c>
      <c r="Z51" s="238">
        <f t="shared" si="2"/>
        <v>77.3178113544094</v>
      </c>
      <c r="AA51" s="238">
        <f t="shared" si="3"/>
        <v>25.176561863560799</v>
      </c>
      <c r="AB51" s="239">
        <f t="shared" si="4"/>
        <v>78.23835851580705</v>
      </c>
      <c r="AC51" s="239">
        <f t="shared" si="5"/>
        <v>25.687976953226162</v>
      </c>
      <c r="AD51" s="239">
        <f t="shared" si="10"/>
        <v>81</v>
      </c>
      <c r="AE51" s="239" t="b">
        <f t="shared" si="11"/>
        <v>0</v>
      </c>
      <c r="AF51" s="239">
        <f t="shared" si="19"/>
        <v>81</v>
      </c>
      <c r="AG51" s="239">
        <f t="shared" si="7"/>
        <v>27.222222222222221</v>
      </c>
      <c r="AH51" s="239">
        <f t="shared" si="8"/>
        <v>100</v>
      </c>
      <c r="AI51" s="238">
        <f t="shared" si="12"/>
        <v>87.987452078881091</v>
      </c>
      <c r="AJ51" s="238">
        <f t="shared" si="13"/>
        <v>85</v>
      </c>
      <c r="AK51" s="238">
        <f t="shared" si="14"/>
        <v>85</v>
      </c>
      <c r="AL51" s="238"/>
      <c r="AM51" s="240">
        <f t="shared" si="15"/>
        <v>3.1298170316844405E-2</v>
      </c>
      <c r="AN51" s="238">
        <f t="shared" si="16"/>
        <v>31.940457509288166</v>
      </c>
      <c r="AO51" s="240">
        <f t="shared" si="17"/>
        <v>3.5571174727034346E-2</v>
      </c>
      <c r="AP51" s="238">
        <f t="shared" si="18"/>
        <v>36.033599998485791</v>
      </c>
    </row>
    <row r="52" spans="1:42" ht="22.2" x14ac:dyDescent="0.7">
      <c r="A52" s="118"/>
      <c r="B52" s="118"/>
      <c r="C52" s="118"/>
      <c r="D52" s="118"/>
      <c r="R52" s="220">
        <v>7</v>
      </c>
      <c r="S52" s="220">
        <v>23</v>
      </c>
      <c r="T52" s="220">
        <v>1</v>
      </c>
      <c r="U52" s="220">
        <f t="shared" si="0"/>
        <v>27.222222222222221</v>
      </c>
      <c r="V52" s="237">
        <f t="shared" si="9"/>
        <v>35634.041666666548</v>
      </c>
      <c r="W52" s="234">
        <v>81</v>
      </c>
      <c r="X52" s="234">
        <f t="shared" si="1"/>
        <v>27.222222222222221</v>
      </c>
      <c r="Y52" s="234">
        <v>85</v>
      </c>
      <c r="Z52" s="238">
        <f t="shared" si="2"/>
        <v>77.3178113544094</v>
      </c>
      <c r="AA52" s="238">
        <f t="shared" si="3"/>
        <v>25.176561863560799</v>
      </c>
      <c r="AB52" s="239">
        <f t="shared" si="4"/>
        <v>78.23835851580705</v>
      </c>
      <c r="AC52" s="239">
        <f t="shared" si="5"/>
        <v>25.687976953226162</v>
      </c>
      <c r="AD52" s="239">
        <f t="shared" si="10"/>
        <v>81</v>
      </c>
      <c r="AE52" s="239" t="b">
        <f t="shared" si="11"/>
        <v>0</v>
      </c>
      <c r="AF52" s="239">
        <f t="shared" si="19"/>
        <v>81</v>
      </c>
      <c r="AG52" s="239">
        <f t="shared" si="7"/>
        <v>27.222222222222221</v>
      </c>
      <c r="AH52" s="239">
        <f t="shared" si="8"/>
        <v>100</v>
      </c>
      <c r="AI52" s="238">
        <f t="shared" si="12"/>
        <v>87.987452078881091</v>
      </c>
      <c r="AJ52" s="238">
        <f t="shared" si="13"/>
        <v>85</v>
      </c>
      <c r="AK52" s="238">
        <f t="shared" si="14"/>
        <v>85</v>
      </c>
      <c r="AL52" s="238"/>
      <c r="AM52" s="240">
        <f t="shared" si="15"/>
        <v>3.1298170316844405E-2</v>
      </c>
      <c r="AN52" s="238">
        <f t="shared" si="16"/>
        <v>31.940457509288166</v>
      </c>
      <c r="AO52" s="240">
        <f t="shared" si="17"/>
        <v>3.5571174727034346E-2</v>
      </c>
      <c r="AP52" s="238">
        <f t="shared" si="18"/>
        <v>36.033599998485791</v>
      </c>
    </row>
    <row r="53" spans="1:42" ht="22.2" x14ac:dyDescent="0.7">
      <c r="A53" s="118"/>
      <c r="B53" s="118"/>
      <c r="C53" s="118"/>
      <c r="D53" s="118"/>
      <c r="R53" s="220">
        <v>7</v>
      </c>
      <c r="S53" s="220">
        <v>23</v>
      </c>
      <c r="T53" s="220">
        <v>2</v>
      </c>
      <c r="U53" s="220">
        <f t="shared" si="0"/>
        <v>26.666666666666668</v>
      </c>
      <c r="V53" s="237">
        <f t="shared" si="9"/>
        <v>35634.083333333212</v>
      </c>
      <c r="W53" s="234">
        <v>80</v>
      </c>
      <c r="X53" s="234">
        <f t="shared" si="1"/>
        <v>26.666666666666668</v>
      </c>
      <c r="Y53" s="234">
        <v>85</v>
      </c>
      <c r="Z53" s="238">
        <f t="shared" si="2"/>
        <v>76.344905095654411</v>
      </c>
      <c r="AA53" s="238">
        <f t="shared" si="3"/>
        <v>24.636058386474694</v>
      </c>
      <c r="AB53" s="239">
        <f t="shared" si="4"/>
        <v>77.258678821740801</v>
      </c>
      <c r="AC53" s="239">
        <f t="shared" si="5"/>
        <v>25.14371045652269</v>
      </c>
      <c r="AD53" s="239">
        <f t="shared" si="10"/>
        <v>80</v>
      </c>
      <c r="AE53" s="239" t="b">
        <f t="shared" si="11"/>
        <v>0</v>
      </c>
      <c r="AF53" s="239">
        <f t="shared" si="19"/>
        <v>80</v>
      </c>
      <c r="AG53" s="239">
        <f t="shared" si="7"/>
        <v>26.666666666666668</v>
      </c>
      <c r="AH53" s="239">
        <f t="shared" si="8"/>
        <v>100</v>
      </c>
      <c r="AI53" s="238">
        <f t="shared" si="12"/>
        <v>88.00770343184584</v>
      </c>
      <c r="AJ53" s="238">
        <f t="shared" si="13"/>
        <v>85</v>
      </c>
      <c r="AK53" s="238">
        <f t="shared" si="14"/>
        <v>85</v>
      </c>
      <c r="AL53" s="238"/>
      <c r="AM53" s="240">
        <f t="shared" si="15"/>
        <v>3.0302431728920731E-2</v>
      </c>
      <c r="AN53" s="238">
        <f t="shared" si="16"/>
        <v>30.929184759689246</v>
      </c>
      <c r="AO53" s="240">
        <f t="shared" si="17"/>
        <v>3.4431567405218425E-2</v>
      </c>
      <c r="AP53" s="238">
        <f t="shared" si="18"/>
        <v>34.879177781486263</v>
      </c>
    </row>
    <row r="54" spans="1:42" ht="22.2" x14ac:dyDescent="0.7">
      <c r="A54" s="118"/>
      <c r="B54" s="118"/>
      <c r="C54" s="118"/>
      <c r="D54" s="118"/>
      <c r="R54" s="220">
        <v>7</v>
      </c>
      <c r="S54" s="220">
        <v>23</v>
      </c>
      <c r="T54" s="220">
        <v>3</v>
      </c>
      <c r="U54" s="220">
        <f t="shared" si="0"/>
        <v>26.666666666666668</v>
      </c>
      <c r="V54" s="237">
        <f t="shared" si="9"/>
        <v>35634.124999999876</v>
      </c>
      <c r="W54" s="234">
        <v>80</v>
      </c>
      <c r="X54" s="234">
        <f t="shared" si="1"/>
        <v>26.666666666666668</v>
      </c>
      <c r="Y54" s="234">
        <v>85</v>
      </c>
      <c r="Z54" s="238">
        <f t="shared" si="2"/>
        <v>76.344905095654411</v>
      </c>
      <c r="AA54" s="238">
        <f t="shared" si="3"/>
        <v>24.636058386474694</v>
      </c>
      <c r="AB54" s="239">
        <f t="shared" si="4"/>
        <v>77.258678821740801</v>
      </c>
      <c r="AC54" s="239">
        <f t="shared" si="5"/>
        <v>25.14371045652269</v>
      </c>
      <c r="AD54" s="239">
        <f t="shared" si="10"/>
        <v>80</v>
      </c>
      <c r="AE54" s="239" t="b">
        <f t="shared" si="11"/>
        <v>0</v>
      </c>
      <c r="AF54" s="239">
        <f t="shared" si="19"/>
        <v>80</v>
      </c>
      <c r="AG54" s="239">
        <f t="shared" si="7"/>
        <v>26.666666666666668</v>
      </c>
      <c r="AH54" s="239">
        <f t="shared" si="8"/>
        <v>100</v>
      </c>
      <c r="AI54" s="238">
        <f t="shared" si="12"/>
        <v>88.00770343184584</v>
      </c>
      <c r="AJ54" s="238">
        <f t="shared" si="13"/>
        <v>85</v>
      </c>
      <c r="AK54" s="238">
        <f t="shared" si="14"/>
        <v>85</v>
      </c>
      <c r="AL54" s="238"/>
      <c r="AM54" s="240">
        <f t="shared" si="15"/>
        <v>3.0302431728920731E-2</v>
      </c>
      <c r="AN54" s="238">
        <f t="shared" si="16"/>
        <v>30.929184759689246</v>
      </c>
      <c r="AO54" s="240">
        <f t="shared" si="17"/>
        <v>3.4431567405218425E-2</v>
      </c>
      <c r="AP54" s="238">
        <f t="shared" si="18"/>
        <v>34.879177781486263</v>
      </c>
    </row>
    <row r="55" spans="1:42" ht="22.2" x14ac:dyDescent="0.7">
      <c r="A55" s="118"/>
      <c r="B55" s="118"/>
      <c r="C55" s="118"/>
      <c r="D55" s="118"/>
      <c r="R55" s="220">
        <v>7</v>
      </c>
      <c r="S55" s="220">
        <v>23</v>
      </c>
      <c r="T55" s="220">
        <v>4</v>
      </c>
      <c r="U55" s="220">
        <f t="shared" si="0"/>
        <v>25.555555555555557</v>
      </c>
      <c r="V55" s="237">
        <f t="shared" si="9"/>
        <v>35634.166666666541</v>
      </c>
      <c r="W55" s="234">
        <v>78</v>
      </c>
      <c r="X55" s="234">
        <f t="shared" si="1"/>
        <v>25.555555555555557</v>
      </c>
      <c r="Y55" s="234">
        <v>88</v>
      </c>
      <c r="Z55" s="238">
        <f t="shared" si="2"/>
        <v>75.141873612907077</v>
      </c>
      <c r="AA55" s="238">
        <f t="shared" si="3"/>
        <v>23.967707562726172</v>
      </c>
      <c r="AB55" s="239">
        <f t="shared" si="4"/>
        <v>75.856405209680304</v>
      </c>
      <c r="AC55" s="239">
        <f t="shared" si="5"/>
        <v>24.364669560933521</v>
      </c>
      <c r="AD55" s="239">
        <f t="shared" si="10"/>
        <v>78</v>
      </c>
      <c r="AE55" s="239" t="b">
        <f t="shared" si="11"/>
        <v>0</v>
      </c>
      <c r="AF55" s="239">
        <f t="shared" si="19"/>
        <v>78</v>
      </c>
      <c r="AG55" s="239">
        <f t="shared" si="7"/>
        <v>25.555555555555557</v>
      </c>
      <c r="AH55" s="239">
        <f t="shared" si="8"/>
        <v>100</v>
      </c>
      <c r="AI55" s="238">
        <f t="shared" si="12"/>
        <v>90.41681314291047</v>
      </c>
      <c r="AJ55" s="238">
        <f t="shared" si="13"/>
        <v>88</v>
      </c>
      <c r="AK55" s="238">
        <f t="shared" si="14"/>
        <v>88</v>
      </c>
      <c r="AL55" s="238"/>
      <c r="AM55" s="240">
        <f t="shared" si="15"/>
        <v>2.9157084910886574E-2</v>
      </c>
      <c r="AN55" s="238">
        <f t="shared" si="16"/>
        <v>29.717412132576531</v>
      </c>
      <c r="AO55" s="240">
        <f t="shared" si="17"/>
        <v>3.2247414941291554E-2</v>
      </c>
      <c r="AP55" s="238">
        <f t="shared" si="18"/>
        <v>32.666631335528344</v>
      </c>
    </row>
    <row r="56" spans="1:42" ht="22.2" x14ac:dyDescent="0.7">
      <c r="A56" s="118"/>
      <c r="B56" s="118"/>
      <c r="C56" s="118"/>
      <c r="D56" s="118"/>
      <c r="R56" s="220">
        <v>7</v>
      </c>
      <c r="S56" s="220">
        <v>23</v>
      </c>
      <c r="T56" s="220">
        <v>5</v>
      </c>
      <c r="U56" s="220">
        <f t="shared" si="0"/>
        <v>25.555555555555557</v>
      </c>
      <c r="V56" s="237">
        <f t="shared" si="9"/>
        <v>35634.208333333205</v>
      </c>
      <c r="W56" s="234">
        <v>78</v>
      </c>
      <c r="X56" s="234">
        <f t="shared" si="1"/>
        <v>25.555555555555557</v>
      </c>
      <c r="Y56" s="234">
        <v>88</v>
      </c>
      <c r="Z56" s="238">
        <f t="shared" si="2"/>
        <v>75.141873612907077</v>
      </c>
      <c r="AA56" s="238">
        <f t="shared" si="3"/>
        <v>23.967707562726172</v>
      </c>
      <c r="AB56" s="239">
        <f t="shared" si="4"/>
        <v>75.856405209680304</v>
      </c>
      <c r="AC56" s="239">
        <f t="shared" si="5"/>
        <v>24.364669560933521</v>
      </c>
      <c r="AD56" s="239">
        <f t="shared" si="10"/>
        <v>78</v>
      </c>
      <c r="AE56" s="239" t="b">
        <f t="shared" si="11"/>
        <v>0</v>
      </c>
      <c r="AF56" s="239">
        <f t="shared" si="19"/>
        <v>78</v>
      </c>
      <c r="AG56" s="239">
        <f t="shared" si="7"/>
        <v>25.555555555555557</v>
      </c>
      <c r="AH56" s="239">
        <f t="shared" si="8"/>
        <v>100</v>
      </c>
      <c r="AI56" s="238">
        <f t="shared" si="12"/>
        <v>90.41681314291047</v>
      </c>
      <c r="AJ56" s="238">
        <f t="shared" si="13"/>
        <v>88</v>
      </c>
      <c r="AK56" s="238">
        <f t="shared" si="14"/>
        <v>88</v>
      </c>
      <c r="AL56" s="238"/>
      <c r="AM56" s="240">
        <f t="shared" si="15"/>
        <v>2.9157084910886574E-2</v>
      </c>
      <c r="AN56" s="238">
        <f t="shared" si="16"/>
        <v>29.717412132576531</v>
      </c>
      <c r="AO56" s="240">
        <f t="shared" si="17"/>
        <v>3.2247414941291554E-2</v>
      </c>
      <c r="AP56" s="238">
        <f t="shared" si="18"/>
        <v>32.666631335528344</v>
      </c>
    </row>
    <row r="57" spans="1:42" ht="22.2" x14ac:dyDescent="0.7">
      <c r="A57" s="118"/>
      <c r="B57" s="118"/>
      <c r="C57" s="118"/>
      <c r="D57" s="118"/>
      <c r="R57" s="220">
        <v>7</v>
      </c>
      <c r="S57" s="220">
        <v>23</v>
      </c>
      <c r="T57" s="220">
        <v>6</v>
      </c>
      <c r="U57" s="220">
        <f t="shared" si="0"/>
        <v>25.555555555555557</v>
      </c>
      <c r="V57" s="237">
        <f t="shared" si="9"/>
        <v>35634.249999999869</v>
      </c>
      <c r="W57" s="234">
        <v>78</v>
      </c>
      <c r="X57" s="234">
        <f t="shared" si="1"/>
        <v>25.555555555555557</v>
      </c>
      <c r="Y57" s="234">
        <v>88</v>
      </c>
      <c r="Z57" s="238">
        <f t="shared" si="2"/>
        <v>75.141873612907077</v>
      </c>
      <c r="AA57" s="238">
        <f t="shared" si="3"/>
        <v>23.967707562726172</v>
      </c>
      <c r="AB57" s="239">
        <f t="shared" si="4"/>
        <v>75.856405209680304</v>
      </c>
      <c r="AC57" s="239">
        <f t="shared" si="5"/>
        <v>24.364669560933521</v>
      </c>
      <c r="AD57" s="239">
        <f t="shared" si="10"/>
        <v>78</v>
      </c>
      <c r="AE57" s="239" t="b">
        <f t="shared" si="11"/>
        <v>0</v>
      </c>
      <c r="AF57" s="239">
        <f t="shared" si="19"/>
        <v>78</v>
      </c>
      <c r="AG57" s="239">
        <f t="shared" si="7"/>
        <v>25.555555555555557</v>
      </c>
      <c r="AH57" s="239">
        <f t="shared" si="8"/>
        <v>100</v>
      </c>
      <c r="AI57" s="238">
        <f t="shared" si="12"/>
        <v>90.41681314291047</v>
      </c>
      <c r="AJ57" s="238">
        <f t="shared" si="13"/>
        <v>88</v>
      </c>
      <c r="AK57" s="238">
        <f t="shared" si="14"/>
        <v>88</v>
      </c>
      <c r="AL57" s="238"/>
      <c r="AM57" s="240">
        <f t="shared" si="15"/>
        <v>2.9157084910886574E-2</v>
      </c>
      <c r="AN57" s="238">
        <f t="shared" si="16"/>
        <v>29.717412132576531</v>
      </c>
      <c r="AO57" s="240">
        <f t="shared" si="17"/>
        <v>3.2247414941291554E-2</v>
      </c>
      <c r="AP57" s="238">
        <f t="shared" si="18"/>
        <v>32.666631335528344</v>
      </c>
    </row>
    <row r="58" spans="1:42" ht="22.2" x14ac:dyDescent="0.7">
      <c r="A58" s="118"/>
      <c r="B58" s="118"/>
      <c r="C58" s="118"/>
      <c r="D58" s="118"/>
      <c r="R58" s="220">
        <v>7</v>
      </c>
      <c r="S58" s="220">
        <v>23</v>
      </c>
      <c r="T58" s="220">
        <v>7</v>
      </c>
      <c r="U58" s="220">
        <f t="shared" si="0"/>
        <v>26.666666666666668</v>
      </c>
      <c r="V58" s="237">
        <f t="shared" si="9"/>
        <v>35634.291666666533</v>
      </c>
      <c r="W58" s="234">
        <v>80</v>
      </c>
      <c r="X58" s="234">
        <f t="shared" si="1"/>
        <v>26.666666666666668</v>
      </c>
      <c r="Y58" s="234">
        <v>85</v>
      </c>
      <c r="Z58" s="238">
        <f t="shared" si="2"/>
        <v>76.344905095654411</v>
      </c>
      <c r="AA58" s="238">
        <f t="shared" si="3"/>
        <v>24.636058386474694</v>
      </c>
      <c r="AB58" s="239">
        <f t="shared" si="4"/>
        <v>77.258678821740801</v>
      </c>
      <c r="AC58" s="239">
        <f t="shared" si="5"/>
        <v>25.14371045652269</v>
      </c>
      <c r="AD58" s="239">
        <f t="shared" si="10"/>
        <v>80</v>
      </c>
      <c r="AE58" s="239" t="b">
        <f t="shared" si="11"/>
        <v>0</v>
      </c>
      <c r="AF58" s="239">
        <f t="shared" si="19"/>
        <v>80</v>
      </c>
      <c r="AG58" s="239">
        <f t="shared" si="7"/>
        <v>26.666666666666668</v>
      </c>
      <c r="AH58" s="239">
        <f t="shared" si="8"/>
        <v>100</v>
      </c>
      <c r="AI58" s="238">
        <f t="shared" si="12"/>
        <v>88.00770343184584</v>
      </c>
      <c r="AJ58" s="238">
        <f t="shared" si="13"/>
        <v>85</v>
      </c>
      <c r="AK58" s="238">
        <f t="shared" si="14"/>
        <v>85</v>
      </c>
      <c r="AL58" s="238"/>
      <c r="AM58" s="240">
        <f t="shared" si="15"/>
        <v>3.0302431728920731E-2</v>
      </c>
      <c r="AN58" s="238">
        <f t="shared" si="16"/>
        <v>30.929184759689246</v>
      </c>
      <c r="AO58" s="240">
        <f t="shared" si="17"/>
        <v>3.4431567405218425E-2</v>
      </c>
      <c r="AP58" s="238">
        <f t="shared" si="18"/>
        <v>34.879177781486263</v>
      </c>
    </row>
    <row r="59" spans="1:42" ht="22.2" x14ac:dyDescent="0.7">
      <c r="A59" s="118"/>
      <c r="B59" s="118"/>
      <c r="C59" s="118"/>
      <c r="D59" s="118"/>
      <c r="R59" s="220">
        <v>7</v>
      </c>
      <c r="S59" s="220">
        <v>23</v>
      </c>
      <c r="T59" s="220">
        <v>8</v>
      </c>
      <c r="U59" s="220">
        <f t="shared" si="0"/>
        <v>30</v>
      </c>
      <c r="V59" s="237">
        <f t="shared" si="9"/>
        <v>35634.333333333198</v>
      </c>
      <c r="W59" s="234">
        <v>86</v>
      </c>
      <c r="X59" s="234">
        <f t="shared" si="1"/>
        <v>30</v>
      </c>
      <c r="Y59" s="234">
        <v>70</v>
      </c>
      <c r="Z59" s="238">
        <f t="shared" si="2"/>
        <v>78.072192254015718</v>
      </c>
      <c r="AA59" s="238">
        <f t="shared" si="3"/>
        <v>25.595662363342086</v>
      </c>
      <c r="AB59" s="239">
        <f t="shared" si="4"/>
        <v>80.054144190511792</v>
      </c>
      <c r="AC59" s="239">
        <f t="shared" si="5"/>
        <v>26.696746772506575</v>
      </c>
      <c r="AD59" s="239">
        <f t="shared" si="10"/>
        <v>86</v>
      </c>
      <c r="AE59" s="239" t="b">
        <f t="shared" si="11"/>
        <v>0</v>
      </c>
      <c r="AF59" s="239">
        <f t="shared" si="19"/>
        <v>86</v>
      </c>
      <c r="AG59" s="239">
        <f t="shared" si="7"/>
        <v>30</v>
      </c>
      <c r="AH59" s="239">
        <f t="shared" si="8"/>
        <v>100</v>
      </c>
      <c r="AI59" s="238">
        <f t="shared" si="12"/>
        <v>76.175174487881009</v>
      </c>
      <c r="AJ59" s="238">
        <f t="shared" si="13"/>
        <v>70</v>
      </c>
      <c r="AK59" s="238">
        <f t="shared" si="14"/>
        <v>70</v>
      </c>
      <c r="AL59" s="238"/>
      <c r="AM59" s="240">
        <f t="shared" si="15"/>
        <v>3.1822794321067487E-2</v>
      </c>
      <c r="AN59" s="238">
        <f t="shared" si="16"/>
        <v>32.744313837696332</v>
      </c>
      <c r="AO59" s="240">
        <f t="shared" si="17"/>
        <v>4.177580758430726E-2</v>
      </c>
      <c r="AP59" s="238">
        <f t="shared" si="18"/>
        <v>42.318893082903251</v>
      </c>
    </row>
    <row r="60" spans="1:42" ht="22.2" x14ac:dyDescent="0.7">
      <c r="A60" s="118"/>
      <c r="B60" s="118"/>
      <c r="C60" s="118"/>
      <c r="D60" s="118"/>
      <c r="R60" s="220">
        <v>7</v>
      </c>
      <c r="S60" s="220">
        <v>23</v>
      </c>
      <c r="T60" s="220">
        <v>9</v>
      </c>
      <c r="U60" s="220">
        <f t="shared" si="0"/>
        <v>31.111111111111111</v>
      </c>
      <c r="V60" s="237">
        <f t="shared" si="9"/>
        <v>35634.374999999862</v>
      </c>
      <c r="W60" s="234">
        <v>88</v>
      </c>
      <c r="X60" s="234">
        <f t="shared" si="1"/>
        <v>31.111111111111111</v>
      </c>
      <c r="Y60" s="234">
        <v>65</v>
      </c>
      <c r="Z60" s="238">
        <f t="shared" si="2"/>
        <v>78.481401981303009</v>
      </c>
      <c r="AA60" s="238">
        <f t="shared" si="3"/>
        <v>25.823001100723914</v>
      </c>
      <c r="AB60" s="239">
        <f t="shared" si="4"/>
        <v>80.861051485977256</v>
      </c>
      <c r="AC60" s="239">
        <f t="shared" si="5"/>
        <v>27.145028603320721</v>
      </c>
      <c r="AD60" s="239">
        <f t="shared" si="10"/>
        <v>88</v>
      </c>
      <c r="AE60" s="239" t="b">
        <f t="shared" si="11"/>
        <v>0</v>
      </c>
      <c r="AF60" s="239">
        <f t="shared" si="19"/>
        <v>88</v>
      </c>
      <c r="AG60" s="239">
        <f t="shared" si="7"/>
        <v>31.111111111111111</v>
      </c>
      <c r="AH60" s="239">
        <f t="shared" si="8"/>
        <v>100</v>
      </c>
      <c r="AI60" s="238">
        <f t="shared" si="12"/>
        <v>72.25253799747243</v>
      </c>
      <c r="AJ60" s="238">
        <f t="shared" si="13"/>
        <v>65</v>
      </c>
      <c r="AK60" s="238">
        <f t="shared" si="14"/>
        <v>65</v>
      </c>
      <c r="AL60" s="238"/>
      <c r="AM60" s="240">
        <f t="shared" si="15"/>
        <v>3.2159148939513577E-2</v>
      </c>
      <c r="AN60" s="238">
        <f t="shared" si="16"/>
        <v>33.187694869845863</v>
      </c>
      <c r="AO60" s="240">
        <f t="shared" si="17"/>
        <v>4.4509369263455605E-2</v>
      </c>
      <c r="AP60" s="238">
        <f t="shared" si="18"/>
        <v>45.08799106388053</v>
      </c>
    </row>
    <row r="61" spans="1:42" ht="22.2" x14ac:dyDescent="0.7">
      <c r="A61" s="118"/>
      <c r="B61" s="118"/>
      <c r="C61" s="118"/>
      <c r="D61" s="118"/>
      <c r="R61" s="220">
        <v>7</v>
      </c>
      <c r="S61" s="220">
        <v>23</v>
      </c>
      <c r="T61" s="220">
        <v>10</v>
      </c>
      <c r="U61" s="220">
        <f t="shared" si="0"/>
        <v>32.777777777777779</v>
      </c>
      <c r="V61" s="237">
        <f t="shared" si="9"/>
        <v>35634.416666666526</v>
      </c>
      <c r="W61" s="234">
        <v>91</v>
      </c>
      <c r="X61" s="234">
        <f t="shared" si="1"/>
        <v>32.777777777777779</v>
      </c>
      <c r="Y61" s="234">
        <v>62</v>
      </c>
      <c r="Z61" s="238">
        <f t="shared" si="2"/>
        <v>80.307808745367055</v>
      </c>
      <c r="AA61" s="238">
        <f t="shared" si="3"/>
        <v>26.837671525203941</v>
      </c>
      <c r="AB61" s="239">
        <f t="shared" si="4"/>
        <v>82.980856559025284</v>
      </c>
      <c r="AC61" s="239">
        <f t="shared" si="5"/>
        <v>28.322698088347405</v>
      </c>
      <c r="AD61" s="239">
        <f t="shared" si="10"/>
        <v>91</v>
      </c>
      <c r="AE61" s="239" t="b">
        <f t="shared" si="11"/>
        <v>0</v>
      </c>
      <c r="AF61" s="239">
        <f t="shared" si="19"/>
        <v>91</v>
      </c>
      <c r="AG61" s="239">
        <f t="shared" si="7"/>
        <v>32.777777777777779</v>
      </c>
      <c r="AH61" s="239">
        <f t="shared" si="8"/>
        <v>100</v>
      </c>
      <c r="AI61" s="238">
        <f t="shared" si="12"/>
        <v>69.726963987443497</v>
      </c>
      <c r="AJ61" s="238">
        <f t="shared" si="13"/>
        <v>62</v>
      </c>
      <c r="AK61" s="238">
        <f t="shared" si="14"/>
        <v>62</v>
      </c>
      <c r="AL61" s="238"/>
      <c r="AM61" s="240">
        <f t="shared" si="15"/>
        <v>3.4097146214952363E-2</v>
      </c>
      <c r="AN61" s="238">
        <f t="shared" si="16"/>
        <v>35.23103625383424</v>
      </c>
      <c r="AO61" s="240">
        <f t="shared" si="17"/>
        <v>4.8900947732490714E-2</v>
      </c>
      <c r="AP61" s="238">
        <f t="shared" si="18"/>
        <v>49.536660053013094</v>
      </c>
    </row>
    <row r="62" spans="1:42" ht="22.2" x14ac:dyDescent="0.7">
      <c r="A62" s="118"/>
      <c r="B62" s="118"/>
      <c r="C62" s="118"/>
      <c r="D62" s="118"/>
      <c r="R62" s="220">
        <v>7</v>
      </c>
      <c r="S62" s="220">
        <v>23</v>
      </c>
      <c r="T62" s="220">
        <v>11</v>
      </c>
      <c r="U62" s="220">
        <f t="shared" si="0"/>
        <v>33.888888888888886</v>
      </c>
      <c r="V62" s="237">
        <f t="shared" si="9"/>
        <v>35634.45833333319</v>
      </c>
      <c r="W62" s="234">
        <v>93</v>
      </c>
      <c r="X62" s="234">
        <f t="shared" si="1"/>
        <v>33.888888888888886</v>
      </c>
      <c r="Y62" s="234">
        <v>56</v>
      </c>
      <c r="Z62" s="238">
        <f t="shared" si="2"/>
        <v>80.181041609497072</v>
      </c>
      <c r="AA62" s="238">
        <f t="shared" si="3"/>
        <v>26.767245338609506</v>
      </c>
      <c r="AB62" s="239">
        <f t="shared" si="4"/>
        <v>83.385781207122804</v>
      </c>
      <c r="AC62" s="239">
        <f t="shared" si="5"/>
        <v>28.54765622617936</v>
      </c>
      <c r="AD62" s="239">
        <f t="shared" si="10"/>
        <v>93</v>
      </c>
      <c r="AE62" s="239" t="b">
        <f t="shared" si="11"/>
        <v>0</v>
      </c>
      <c r="AF62" s="239">
        <f t="shared" si="19"/>
        <v>93</v>
      </c>
      <c r="AG62" s="239">
        <f t="shared" si="7"/>
        <v>33.888888888888886</v>
      </c>
      <c r="AH62" s="239">
        <f t="shared" si="8"/>
        <v>100</v>
      </c>
      <c r="AI62" s="238">
        <f t="shared" si="12"/>
        <v>64.994648860764499</v>
      </c>
      <c r="AJ62" s="238">
        <f t="shared" si="13"/>
        <v>56</v>
      </c>
      <c r="AK62" s="238">
        <f t="shared" si="14"/>
        <v>56</v>
      </c>
      <c r="AL62" s="238"/>
      <c r="AM62" s="240">
        <f t="shared" si="15"/>
        <v>3.3818950143921361E-2</v>
      </c>
      <c r="AN62" s="238">
        <f t="shared" si="16"/>
        <v>35.085755086741834</v>
      </c>
      <c r="AO62" s="240">
        <f t="shared" si="17"/>
        <v>5.2033437731728312E-2</v>
      </c>
      <c r="AP62" s="238">
        <f t="shared" si="18"/>
        <v>52.709872422240778</v>
      </c>
    </row>
    <row r="63" spans="1:42" ht="22.2" x14ac:dyDescent="0.7">
      <c r="A63" s="118"/>
      <c r="B63" s="118"/>
      <c r="C63" s="118"/>
      <c r="D63" s="118"/>
      <c r="R63" s="220">
        <v>7</v>
      </c>
      <c r="S63" s="220">
        <v>23</v>
      </c>
      <c r="T63" s="220">
        <v>12</v>
      </c>
      <c r="U63" s="220">
        <f t="shared" si="0"/>
        <v>35</v>
      </c>
      <c r="V63" s="237">
        <f t="shared" si="9"/>
        <v>35634.499999999854</v>
      </c>
      <c r="W63" s="234">
        <v>95</v>
      </c>
      <c r="X63" s="234">
        <f t="shared" si="1"/>
        <v>35</v>
      </c>
      <c r="Y63" s="234">
        <v>53</v>
      </c>
      <c r="Z63" s="238">
        <f t="shared" si="2"/>
        <v>80.923562965539361</v>
      </c>
      <c r="AA63" s="238">
        <f t="shared" si="3"/>
        <v>27.179757203077447</v>
      </c>
      <c r="AB63" s="239">
        <f t="shared" si="4"/>
        <v>84.442672224154521</v>
      </c>
      <c r="AC63" s="239">
        <f t="shared" si="5"/>
        <v>29.134817902308093</v>
      </c>
      <c r="AD63" s="239">
        <f t="shared" si="10"/>
        <v>95</v>
      </c>
      <c r="AE63" s="239" t="b">
        <f t="shared" si="11"/>
        <v>0</v>
      </c>
      <c r="AF63" s="239">
        <f t="shared" si="19"/>
        <v>95</v>
      </c>
      <c r="AG63" s="239">
        <f t="shared" si="7"/>
        <v>35</v>
      </c>
      <c r="AH63" s="239">
        <f t="shared" si="8"/>
        <v>100</v>
      </c>
      <c r="AI63" s="238">
        <f t="shared" si="12"/>
        <v>62.494871481693423</v>
      </c>
      <c r="AJ63" s="238">
        <f t="shared" si="13"/>
        <v>53</v>
      </c>
      <c r="AK63" s="238">
        <f t="shared" si="14"/>
        <v>53</v>
      </c>
      <c r="AL63" s="238"/>
      <c r="AM63" s="240">
        <f t="shared" si="15"/>
        <v>3.4583775537867525E-2</v>
      </c>
      <c r="AN63" s="238">
        <f t="shared" si="16"/>
        <v>35.944199766255032</v>
      </c>
      <c r="AO63" s="240">
        <f t="shared" si="17"/>
        <v>5.5338581739460213E-2</v>
      </c>
      <c r="AP63" s="238">
        <f t="shared" si="18"/>
        <v>56.057983302073197</v>
      </c>
    </row>
    <row r="64" spans="1:42" ht="22.2" x14ac:dyDescent="0.7">
      <c r="A64" s="118"/>
      <c r="B64" s="118"/>
      <c r="C64" s="118"/>
      <c r="D64" s="118"/>
      <c r="R64" s="220">
        <v>7</v>
      </c>
      <c r="S64" s="220">
        <v>23</v>
      </c>
      <c r="T64" s="220">
        <v>13</v>
      </c>
      <c r="U64" s="220">
        <f t="shared" si="0"/>
        <v>35.555555555555557</v>
      </c>
      <c r="V64" s="237">
        <f t="shared" si="9"/>
        <v>35634.541666666519</v>
      </c>
      <c r="W64" s="234">
        <v>96</v>
      </c>
      <c r="X64" s="234">
        <f t="shared" si="1"/>
        <v>35.555555555555557</v>
      </c>
      <c r="Y64" s="234">
        <v>49</v>
      </c>
      <c r="Z64" s="238">
        <f t="shared" si="2"/>
        <v>80.370091005331943</v>
      </c>
      <c r="AA64" s="238">
        <f t="shared" si="3"/>
        <v>26.872272780739991</v>
      </c>
      <c r="AB64" s="239">
        <f t="shared" si="4"/>
        <v>84.277568253998965</v>
      </c>
      <c r="AC64" s="239">
        <f t="shared" si="5"/>
        <v>29.043093474443893</v>
      </c>
      <c r="AD64" s="239">
        <f t="shared" si="10"/>
        <v>96</v>
      </c>
      <c r="AE64" s="239" t="b">
        <f t="shared" si="11"/>
        <v>0</v>
      </c>
      <c r="AF64" s="239">
        <f t="shared" si="19"/>
        <v>96</v>
      </c>
      <c r="AG64" s="239">
        <f t="shared" si="7"/>
        <v>35.555555555555557</v>
      </c>
      <c r="AH64" s="239">
        <f t="shared" si="8"/>
        <v>100</v>
      </c>
      <c r="AI64" s="238">
        <f t="shared" si="12"/>
        <v>59.331963248797869</v>
      </c>
      <c r="AJ64" s="238">
        <f t="shared" si="13"/>
        <v>49</v>
      </c>
      <c r="AK64" s="238">
        <f t="shared" si="14"/>
        <v>49</v>
      </c>
      <c r="AL64" s="238"/>
      <c r="AM64" s="240">
        <f t="shared" si="15"/>
        <v>3.3853839552751057E-2</v>
      </c>
      <c r="AN64" s="238">
        <f t="shared" si="16"/>
        <v>35.302606466206292</v>
      </c>
      <c r="AO64" s="240">
        <f t="shared" si="17"/>
        <v>5.7058350506271123E-2</v>
      </c>
      <c r="AP64" s="238">
        <f t="shared" si="18"/>
        <v>57.800109062852648</v>
      </c>
    </row>
    <row r="65" spans="1:42" ht="22.2" x14ac:dyDescent="0.7">
      <c r="A65" s="118"/>
      <c r="B65" s="118"/>
      <c r="C65" s="118"/>
      <c r="D65" s="118"/>
      <c r="R65" s="220">
        <v>7</v>
      </c>
      <c r="S65" s="220">
        <v>23</v>
      </c>
      <c r="T65" s="220">
        <v>14</v>
      </c>
      <c r="U65" s="220">
        <f t="shared" si="0"/>
        <v>36.111111111111114</v>
      </c>
      <c r="V65" s="237">
        <f t="shared" si="9"/>
        <v>35634.583333333183</v>
      </c>
      <c r="W65" s="234">
        <v>97</v>
      </c>
      <c r="X65" s="234">
        <f t="shared" si="1"/>
        <v>36.111111111111114</v>
      </c>
      <c r="Y65" s="234">
        <v>49</v>
      </c>
      <c r="Z65" s="238">
        <f t="shared" si="2"/>
        <v>81.225521066396027</v>
      </c>
      <c r="AA65" s="238">
        <f t="shared" si="3"/>
        <v>27.347511703553373</v>
      </c>
      <c r="AB65" s="239">
        <f t="shared" si="4"/>
        <v>85.16914079979702</v>
      </c>
      <c r="AC65" s="239">
        <f t="shared" si="5"/>
        <v>29.538411555442813</v>
      </c>
      <c r="AD65" s="239">
        <f t="shared" si="10"/>
        <v>97</v>
      </c>
      <c r="AE65" s="239" t="b">
        <f t="shared" si="11"/>
        <v>0</v>
      </c>
      <c r="AF65" s="239">
        <f t="shared" si="19"/>
        <v>97</v>
      </c>
      <c r="AG65" s="239">
        <f t="shared" si="7"/>
        <v>36.111111111111114</v>
      </c>
      <c r="AH65" s="239">
        <f t="shared" si="8"/>
        <v>100</v>
      </c>
      <c r="AI65" s="238">
        <f t="shared" si="12"/>
        <v>59.200372410044423</v>
      </c>
      <c r="AJ65" s="238">
        <f t="shared" si="13"/>
        <v>49</v>
      </c>
      <c r="AK65" s="238">
        <f t="shared" si="14"/>
        <v>49</v>
      </c>
      <c r="AL65" s="238"/>
      <c r="AM65" s="240">
        <f t="shared" si="15"/>
        <v>3.482418043280483E-2</v>
      </c>
      <c r="AN65" s="238">
        <f t="shared" si="16"/>
        <v>36.298497429068881</v>
      </c>
      <c r="AO65" s="240">
        <f t="shared" si="17"/>
        <v>5.8824259063100542E-2</v>
      </c>
      <c r="AP65" s="238">
        <f t="shared" si="18"/>
        <v>59.58897443092085</v>
      </c>
    </row>
    <row r="66" spans="1:42" ht="22.2" x14ac:dyDescent="0.7">
      <c r="A66" s="118"/>
      <c r="B66" s="118"/>
      <c r="C66" s="118"/>
      <c r="D66" s="118"/>
      <c r="R66" s="220">
        <v>7</v>
      </c>
      <c r="S66" s="220">
        <v>23</v>
      </c>
      <c r="T66" s="220">
        <v>15</v>
      </c>
      <c r="U66" s="220">
        <f t="shared" si="0"/>
        <v>36.111111111111114</v>
      </c>
      <c r="V66" s="237">
        <f t="shared" si="9"/>
        <v>35634.624999999847</v>
      </c>
      <c r="W66" s="234">
        <v>97</v>
      </c>
      <c r="X66" s="234">
        <f t="shared" si="1"/>
        <v>36.111111111111114</v>
      </c>
      <c r="Y66" s="234">
        <v>49</v>
      </c>
      <c r="Z66" s="238">
        <f t="shared" si="2"/>
        <v>81.225521066396027</v>
      </c>
      <c r="AA66" s="238">
        <f t="shared" si="3"/>
        <v>27.347511703553373</v>
      </c>
      <c r="AB66" s="239">
        <f t="shared" si="4"/>
        <v>85.16914079979702</v>
      </c>
      <c r="AC66" s="239">
        <f t="shared" si="5"/>
        <v>29.538411555442813</v>
      </c>
      <c r="AD66" s="239">
        <f t="shared" si="10"/>
        <v>97</v>
      </c>
      <c r="AE66" s="239" t="b">
        <f t="shared" si="11"/>
        <v>0</v>
      </c>
      <c r="AF66" s="239">
        <f t="shared" si="19"/>
        <v>97</v>
      </c>
      <c r="AG66" s="239">
        <f t="shared" si="7"/>
        <v>36.111111111111114</v>
      </c>
      <c r="AH66" s="239">
        <f t="shared" si="8"/>
        <v>100</v>
      </c>
      <c r="AI66" s="238">
        <f t="shared" si="12"/>
        <v>59.200372410044423</v>
      </c>
      <c r="AJ66" s="238">
        <f t="shared" si="13"/>
        <v>49</v>
      </c>
      <c r="AK66" s="238">
        <f t="shared" si="14"/>
        <v>49</v>
      </c>
      <c r="AL66" s="238"/>
      <c r="AM66" s="240">
        <f t="shared" si="15"/>
        <v>3.482418043280483E-2</v>
      </c>
      <c r="AN66" s="238">
        <f t="shared" si="16"/>
        <v>36.298497429068881</v>
      </c>
      <c r="AO66" s="240">
        <f t="shared" si="17"/>
        <v>5.8824259063100542E-2</v>
      </c>
      <c r="AP66" s="238">
        <f t="shared" si="18"/>
        <v>59.58897443092085</v>
      </c>
    </row>
    <row r="67" spans="1:42" ht="22.2" x14ac:dyDescent="0.7">
      <c r="A67" s="118"/>
      <c r="B67" s="118"/>
      <c r="C67" s="118"/>
      <c r="D67" s="118"/>
      <c r="R67" s="220">
        <v>7</v>
      </c>
      <c r="S67" s="220">
        <v>23</v>
      </c>
      <c r="T67" s="220">
        <v>16</v>
      </c>
      <c r="U67" s="220">
        <f t="shared" si="0"/>
        <v>28.333333333333332</v>
      </c>
      <c r="V67" s="237">
        <f t="shared" si="9"/>
        <v>35634.666666666511</v>
      </c>
      <c r="W67" s="234">
        <v>83</v>
      </c>
      <c r="X67" s="234">
        <f t="shared" si="1"/>
        <v>28.333333333333332</v>
      </c>
      <c r="Y67" s="234">
        <v>74</v>
      </c>
      <c r="Z67" s="238">
        <f t="shared" si="2"/>
        <v>76.358172566941874</v>
      </c>
      <c r="AA67" s="238">
        <f t="shared" si="3"/>
        <v>24.643429203856616</v>
      </c>
      <c r="AB67" s="239">
        <f t="shared" si="4"/>
        <v>78.018629425206399</v>
      </c>
      <c r="AC67" s="239">
        <f t="shared" si="5"/>
        <v>25.565905236225799</v>
      </c>
      <c r="AD67" s="239">
        <f t="shared" si="10"/>
        <v>83</v>
      </c>
      <c r="AE67" s="239" t="b">
        <f t="shared" si="11"/>
        <v>0</v>
      </c>
      <c r="AF67" s="239">
        <f t="shared" si="19"/>
        <v>83</v>
      </c>
      <c r="AG67" s="239">
        <f t="shared" si="7"/>
        <v>28.333333333333332</v>
      </c>
      <c r="AH67" s="239">
        <f t="shared" si="8"/>
        <v>100</v>
      </c>
      <c r="AI67" s="238">
        <f t="shared" si="12"/>
        <v>79.39096237158914</v>
      </c>
      <c r="AJ67" s="238">
        <f t="shared" si="13"/>
        <v>74</v>
      </c>
      <c r="AK67" s="238">
        <f t="shared" si="14"/>
        <v>74</v>
      </c>
      <c r="AL67" s="238"/>
      <c r="AM67" s="240">
        <f t="shared" si="15"/>
        <v>3.0128319972445243E-2</v>
      </c>
      <c r="AN67" s="238">
        <f t="shared" si="16"/>
        <v>30.942785343383139</v>
      </c>
      <c r="AO67" s="240">
        <f t="shared" si="17"/>
        <v>3.7949306914091485E-2</v>
      </c>
      <c r="AP67" s="238">
        <f t="shared" si="18"/>
        <v>38.442647903974674</v>
      </c>
    </row>
    <row r="68" spans="1:42" ht="22.2" x14ac:dyDescent="0.7">
      <c r="A68" s="118"/>
      <c r="B68" s="118"/>
      <c r="C68" s="118"/>
      <c r="D68" s="118"/>
      <c r="R68" s="220">
        <v>7</v>
      </c>
      <c r="S68" s="220">
        <v>23</v>
      </c>
      <c r="T68" s="220">
        <v>17</v>
      </c>
      <c r="U68" s="220">
        <f t="shared" ref="U68:U131" si="20">+(W68-32)*5/9</f>
        <v>25.555555555555557</v>
      </c>
      <c r="V68" s="237">
        <f t="shared" si="9"/>
        <v>35634.708333333176</v>
      </c>
      <c r="W68" s="234">
        <v>78</v>
      </c>
      <c r="X68" s="234">
        <f t="shared" ref="X68:X131" si="21">+(W68-32)*5/9</f>
        <v>25.555555555555557</v>
      </c>
      <c r="Y68" s="234">
        <v>88</v>
      </c>
      <c r="Z68" s="238">
        <f t="shared" ref="Z68:Z131" si="22">(X68*ATAN(0.151977*(Y68+8.313659)^0.5)+ATAN(X68+Y68)-ATAN(Y68-1.676331)+0.00391838*(Y68)^1.5*ATAN(0.023101*Y68)-4.686035)*9/5+32</f>
        <v>75.141873612907077</v>
      </c>
      <c r="AA68" s="238">
        <f t="shared" ref="AA68:AA131" si="23">+(Z68-32)*0.555555555555556</f>
        <v>23.967707562726172</v>
      </c>
      <c r="AB68" s="239">
        <f t="shared" ref="AB68:AB131" si="24">-(W68-Z68)*0.75+W68</f>
        <v>75.856405209680304</v>
      </c>
      <c r="AC68" s="239">
        <f t="shared" ref="AC68:AC131" si="25">+(AB68-32)*0.555555555555556</f>
        <v>24.364669560933521</v>
      </c>
      <c r="AD68" s="239">
        <f t="shared" si="10"/>
        <v>78</v>
      </c>
      <c r="AE68" s="239" t="b">
        <f t="shared" si="11"/>
        <v>0</v>
      </c>
      <c r="AF68" s="239">
        <f t="shared" si="19"/>
        <v>78</v>
      </c>
      <c r="AG68" s="239">
        <f t="shared" ref="AG68:AG131" si="26">+(AF68-32)*5/9</f>
        <v>25.555555555555557</v>
      </c>
      <c r="AH68" s="239">
        <f t="shared" ref="AH68:AH131" si="27">+$H$4</f>
        <v>100</v>
      </c>
      <c r="AI68" s="238">
        <f t="shared" si="12"/>
        <v>90.41681314291047</v>
      </c>
      <c r="AJ68" s="238">
        <f t="shared" si="13"/>
        <v>88</v>
      </c>
      <c r="AK68" s="238">
        <f t="shared" si="14"/>
        <v>88</v>
      </c>
      <c r="AL68" s="238"/>
      <c r="AM68" s="240">
        <f t="shared" si="15"/>
        <v>2.9157084910886574E-2</v>
      </c>
      <c r="AN68" s="238">
        <f t="shared" si="16"/>
        <v>29.717412132576531</v>
      </c>
      <c r="AO68" s="240">
        <f t="shared" si="17"/>
        <v>3.2247414941291554E-2</v>
      </c>
      <c r="AP68" s="238">
        <f t="shared" si="18"/>
        <v>32.666631335528344</v>
      </c>
    </row>
    <row r="69" spans="1:42" ht="22.2" x14ac:dyDescent="0.7">
      <c r="A69" s="118"/>
      <c r="B69" s="118"/>
      <c r="C69" s="118"/>
      <c r="D69" s="118"/>
      <c r="R69" s="220">
        <v>7</v>
      </c>
      <c r="S69" s="220">
        <v>23</v>
      </c>
      <c r="T69" s="220">
        <v>18</v>
      </c>
      <c r="U69" s="220">
        <f t="shared" si="20"/>
        <v>25.555555555555557</v>
      </c>
      <c r="V69" s="237">
        <f t="shared" ref="V69:V132" si="28">+V68+1/24</f>
        <v>35634.74999999984</v>
      </c>
      <c r="W69" s="234">
        <v>78</v>
      </c>
      <c r="X69" s="234">
        <f t="shared" si="21"/>
        <v>25.555555555555557</v>
      </c>
      <c r="Y69" s="234">
        <v>88</v>
      </c>
      <c r="Z69" s="238">
        <f t="shared" si="22"/>
        <v>75.141873612907077</v>
      </c>
      <c r="AA69" s="238">
        <f t="shared" si="23"/>
        <v>23.967707562726172</v>
      </c>
      <c r="AB69" s="239">
        <f t="shared" si="24"/>
        <v>75.856405209680304</v>
      </c>
      <c r="AC69" s="239">
        <f t="shared" si="25"/>
        <v>24.364669560933521</v>
      </c>
      <c r="AD69" s="239">
        <f t="shared" ref="AD69:AD132" si="29">+IF(W69&gt;=$H$4,AB69,W69)</f>
        <v>78</v>
      </c>
      <c r="AE69" s="239" t="b">
        <f t="shared" ref="AE69:AE132" si="30">+AND(AD69&lt;W69,$H$4&gt;=AD69)</f>
        <v>0</v>
      </c>
      <c r="AF69" s="239">
        <f t="shared" si="19"/>
        <v>78</v>
      </c>
      <c r="AG69" s="239">
        <f t="shared" si="26"/>
        <v>25.555555555555557</v>
      </c>
      <c r="AH69" s="239">
        <f t="shared" si="27"/>
        <v>100</v>
      </c>
      <c r="AI69" s="238">
        <f t="shared" ref="AI69:AI132" si="31">+AM69/AO69*100</f>
        <v>90.41681314291047</v>
      </c>
      <c r="AJ69" s="238">
        <f t="shared" ref="AJ69:AJ132" si="32">+Y69</f>
        <v>88</v>
      </c>
      <c r="AK69" s="238">
        <f t="shared" ref="AK69:AK132" si="33">+IF(W69&gt;=AH69,AI69,AJ69)</f>
        <v>88</v>
      </c>
      <c r="AL69" s="238"/>
      <c r="AM69" s="240">
        <f t="shared" ref="AM69:AM132" si="34">+((AC69-AA69)*1.005-2500*(AN69/1013))/(-(AC69-AA69)*4.186-2500)</f>
        <v>2.9157084910886574E-2</v>
      </c>
      <c r="AN69" s="238">
        <f t="shared" ref="AN69:AN132" si="35">6.11*10^(7.5*AA69/(237.7+AA69))</f>
        <v>29.717412132576531</v>
      </c>
      <c r="AO69" s="240">
        <f t="shared" ref="AO69:AO132" si="36">+AP69/1013</f>
        <v>3.2247414941291554E-2</v>
      </c>
      <c r="AP69" s="238">
        <f t="shared" ref="AP69:AP132" si="37">6.11*10^(7.5*AG69/(237.7+AG69))</f>
        <v>32.666631335528344</v>
      </c>
    </row>
    <row r="70" spans="1:42" ht="22.2" x14ac:dyDescent="0.7">
      <c r="A70" s="118"/>
      <c r="B70" s="118"/>
      <c r="C70" s="118"/>
      <c r="D70" s="118"/>
      <c r="R70" s="220">
        <v>7</v>
      </c>
      <c r="S70" s="220">
        <v>23</v>
      </c>
      <c r="T70" s="220">
        <v>19</v>
      </c>
      <c r="U70" s="220">
        <f t="shared" si="20"/>
        <v>25.555555555555557</v>
      </c>
      <c r="V70" s="237">
        <f t="shared" si="28"/>
        <v>35634.791666666504</v>
      </c>
      <c r="W70" s="234">
        <v>78</v>
      </c>
      <c r="X70" s="234">
        <f t="shared" si="21"/>
        <v>25.555555555555557</v>
      </c>
      <c r="Y70" s="234">
        <v>85</v>
      </c>
      <c r="Z70" s="238">
        <f t="shared" si="22"/>
        <v>74.399090172530876</v>
      </c>
      <c r="AA70" s="238">
        <f t="shared" si="23"/>
        <v>23.555050095850508</v>
      </c>
      <c r="AB70" s="239">
        <f t="shared" si="24"/>
        <v>75.299317629398161</v>
      </c>
      <c r="AC70" s="239">
        <f t="shared" si="25"/>
        <v>24.055176460776774</v>
      </c>
      <c r="AD70" s="239">
        <f t="shared" si="29"/>
        <v>78</v>
      </c>
      <c r="AE70" s="239" t="b">
        <f t="shared" si="30"/>
        <v>0</v>
      </c>
      <c r="AF70" s="239">
        <f t="shared" si="19"/>
        <v>78</v>
      </c>
      <c r="AG70" s="239">
        <f t="shared" si="26"/>
        <v>25.555555555555557</v>
      </c>
      <c r="AH70" s="239">
        <f t="shared" si="27"/>
        <v>100</v>
      </c>
      <c r="AI70" s="238">
        <f t="shared" si="31"/>
        <v>88.048095929273913</v>
      </c>
      <c r="AJ70" s="238">
        <f t="shared" si="32"/>
        <v>85</v>
      </c>
      <c r="AK70" s="238">
        <f t="shared" si="33"/>
        <v>85</v>
      </c>
      <c r="AL70" s="238"/>
      <c r="AM70" s="240">
        <f t="shared" si="34"/>
        <v>2.8393234842219395E-2</v>
      </c>
      <c r="AN70" s="238">
        <f t="shared" si="35"/>
        <v>28.990097276765955</v>
      </c>
      <c r="AO70" s="240">
        <f t="shared" si="36"/>
        <v>3.2247414941291554E-2</v>
      </c>
      <c r="AP70" s="238">
        <f t="shared" si="37"/>
        <v>32.666631335528344</v>
      </c>
    </row>
    <row r="71" spans="1:42" ht="22.2" x14ac:dyDescent="0.7">
      <c r="A71" s="118"/>
      <c r="B71" s="118"/>
      <c r="C71" s="118"/>
      <c r="D71" s="118"/>
      <c r="R71" s="220">
        <v>7</v>
      </c>
      <c r="S71" s="220">
        <v>23</v>
      </c>
      <c r="T71" s="220">
        <v>20</v>
      </c>
      <c r="U71" s="220">
        <f t="shared" si="20"/>
        <v>25</v>
      </c>
      <c r="V71" s="237">
        <f t="shared" si="28"/>
        <v>35634.833333333168</v>
      </c>
      <c r="W71" s="234">
        <v>77</v>
      </c>
      <c r="X71" s="234">
        <f t="shared" si="21"/>
        <v>25</v>
      </c>
      <c r="Y71" s="234">
        <v>91</v>
      </c>
      <c r="Z71" s="238">
        <f t="shared" si="22"/>
        <v>74.894462309033202</v>
      </c>
      <c r="AA71" s="238">
        <f t="shared" si="23"/>
        <v>23.830256838351797</v>
      </c>
      <c r="AB71" s="239">
        <f t="shared" si="24"/>
        <v>75.420846731774901</v>
      </c>
      <c r="AC71" s="239">
        <f t="shared" si="25"/>
        <v>24.122692628763854</v>
      </c>
      <c r="AD71" s="239">
        <f t="shared" si="29"/>
        <v>77</v>
      </c>
      <c r="AE71" s="239" t="b">
        <f t="shared" si="30"/>
        <v>0</v>
      </c>
      <c r="AF71" s="239">
        <f t="shared" si="19"/>
        <v>77</v>
      </c>
      <c r="AG71" s="239">
        <f t="shared" si="26"/>
        <v>25</v>
      </c>
      <c r="AH71" s="239">
        <f t="shared" si="27"/>
        <v>100</v>
      </c>
      <c r="AI71" s="238">
        <f t="shared" si="31"/>
        <v>92.827415886717418</v>
      </c>
      <c r="AJ71" s="238">
        <f t="shared" si="32"/>
        <v>91</v>
      </c>
      <c r="AK71" s="238">
        <f t="shared" si="33"/>
        <v>91</v>
      </c>
      <c r="AL71" s="238"/>
      <c r="AM71" s="240">
        <f t="shared" si="34"/>
        <v>2.8963426307578234E-2</v>
      </c>
      <c r="AN71" s="238">
        <f t="shared" si="35"/>
        <v>29.473404745358618</v>
      </c>
      <c r="AO71" s="240">
        <f t="shared" si="36"/>
        <v>3.1201370878323226E-2</v>
      </c>
      <c r="AP71" s="238">
        <f t="shared" si="37"/>
        <v>31.606988699741429</v>
      </c>
    </row>
    <row r="72" spans="1:42" ht="22.2" x14ac:dyDescent="0.7">
      <c r="A72" s="118"/>
      <c r="B72" s="118"/>
      <c r="C72" s="118"/>
      <c r="D72" s="118"/>
      <c r="R72" s="220">
        <v>7</v>
      </c>
      <c r="S72" s="220">
        <v>23</v>
      </c>
      <c r="T72" s="220">
        <v>21</v>
      </c>
      <c r="U72" s="220">
        <f t="shared" si="20"/>
        <v>25.555555555555557</v>
      </c>
      <c r="V72" s="237">
        <f t="shared" si="28"/>
        <v>35634.874999999833</v>
      </c>
      <c r="W72" s="234">
        <v>78</v>
      </c>
      <c r="X72" s="234">
        <f t="shared" si="21"/>
        <v>25.555555555555557</v>
      </c>
      <c r="Y72" s="234">
        <v>88</v>
      </c>
      <c r="Z72" s="238">
        <f t="shared" si="22"/>
        <v>75.141873612907077</v>
      </c>
      <c r="AA72" s="238">
        <f t="shared" si="23"/>
        <v>23.967707562726172</v>
      </c>
      <c r="AB72" s="239">
        <f t="shared" si="24"/>
        <v>75.856405209680304</v>
      </c>
      <c r="AC72" s="239">
        <f t="shared" si="25"/>
        <v>24.364669560933521</v>
      </c>
      <c r="AD72" s="239">
        <f t="shared" si="29"/>
        <v>78</v>
      </c>
      <c r="AE72" s="239" t="b">
        <f t="shared" si="30"/>
        <v>0</v>
      </c>
      <c r="AF72" s="239">
        <f t="shared" si="19"/>
        <v>78</v>
      </c>
      <c r="AG72" s="239">
        <f t="shared" si="26"/>
        <v>25.555555555555557</v>
      </c>
      <c r="AH72" s="239">
        <f t="shared" si="27"/>
        <v>100</v>
      </c>
      <c r="AI72" s="238">
        <f t="shared" si="31"/>
        <v>90.41681314291047</v>
      </c>
      <c r="AJ72" s="238">
        <f t="shared" si="32"/>
        <v>88</v>
      </c>
      <c r="AK72" s="238">
        <f t="shared" si="33"/>
        <v>88</v>
      </c>
      <c r="AL72" s="238"/>
      <c r="AM72" s="240">
        <f t="shared" si="34"/>
        <v>2.9157084910886574E-2</v>
      </c>
      <c r="AN72" s="238">
        <f t="shared" si="35"/>
        <v>29.717412132576531</v>
      </c>
      <c r="AO72" s="240">
        <f t="shared" si="36"/>
        <v>3.2247414941291554E-2</v>
      </c>
      <c r="AP72" s="238">
        <f t="shared" si="37"/>
        <v>32.666631335528344</v>
      </c>
    </row>
    <row r="73" spans="1:42" ht="22.2" x14ac:dyDescent="0.7">
      <c r="A73" s="118"/>
      <c r="B73" s="118"/>
      <c r="C73" s="118"/>
      <c r="D73" s="118"/>
      <c r="R73" s="220">
        <v>7</v>
      </c>
      <c r="S73" s="220">
        <v>23</v>
      </c>
      <c r="T73" s="220">
        <v>22</v>
      </c>
      <c r="U73" s="220">
        <f t="shared" si="20"/>
        <v>25.555555555555557</v>
      </c>
      <c r="V73" s="237">
        <f t="shared" si="28"/>
        <v>35634.916666666497</v>
      </c>
      <c r="W73" s="234">
        <v>78</v>
      </c>
      <c r="X73" s="234">
        <f t="shared" si="21"/>
        <v>25.555555555555557</v>
      </c>
      <c r="Y73" s="234">
        <v>88</v>
      </c>
      <c r="Z73" s="238">
        <f t="shared" si="22"/>
        <v>75.141873612907077</v>
      </c>
      <c r="AA73" s="238">
        <f t="shared" si="23"/>
        <v>23.967707562726172</v>
      </c>
      <c r="AB73" s="239">
        <f t="shared" si="24"/>
        <v>75.856405209680304</v>
      </c>
      <c r="AC73" s="239">
        <f t="shared" si="25"/>
        <v>24.364669560933521</v>
      </c>
      <c r="AD73" s="239">
        <f t="shared" si="29"/>
        <v>78</v>
      </c>
      <c r="AE73" s="239" t="b">
        <f t="shared" si="30"/>
        <v>0</v>
      </c>
      <c r="AF73" s="239">
        <f t="shared" si="19"/>
        <v>78</v>
      </c>
      <c r="AG73" s="239">
        <f t="shared" si="26"/>
        <v>25.555555555555557</v>
      </c>
      <c r="AH73" s="239">
        <f t="shared" si="27"/>
        <v>100</v>
      </c>
      <c r="AI73" s="238">
        <f t="shared" si="31"/>
        <v>90.41681314291047</v>
      </c>
      <c r="AJ73" s="238">
        <f t="shared" si="32"/>
        <v>88</v>
      </c>
      <c r="AK73" s="238">
        <f t="shared" si="33"/>
        <v>88</v>
      </c>
      <c r="AL73" s="238"/>
      <c r="AM73" s="240">
        <f t="shared" si="34"/>
        <v>2.9157084910886574E-2</v>
      </c>
      <c r="AN73" s="238">
        <f t="shared" si="35"/>
        <v>29.717412132576531</v>
      </c>
      <c r="AO73" s="240">
        <f t="shared" si="36"/>
        <v>3.2247414941291554E-2</v>
      </c>
      <c r="AP73" s="238">
        <f t="shared" si="37"/>
        <v>32.666631335528344</v>
      </c>
    </row>
    <row r="74" spans="1:42" ht="22.2" x14ac:dyDescent="0.7">
      <c r="A74" s="118"/>
      <c r="B74" s="118"/>
      <c r="C74" s="118"/>
      <c r="D74" s="118"/>
      <c r="R74" s="220">
        <v>7</v>
      </c>
      <c r="S74" s="220">
        <v>23</v>
      </c>
      <c r="T74" s="220">
        <v>23</v>
      </c>
      <c r="U74" s="220">
        <f t="shared" si="20"/>
        <v>25</v>
      </c>
      <c r="V74" s="237">
        <f t="shared" si="28"/>
        <v>35634.958333333161</v>
      </c>
      <c r="W74" s="234">
        <v>77</v>
      </c>
      <c r="X74" s="234">
        <f t="shared" si="21"/>
        <v>25</v>
      </c>
      <c r="Y74" s="234">
        <v>91</v>
      </c>
      <c r="Z74" s="238">
        <f t="shared" si="22"/>
        <v>74.894462309033202</v>
      </c>
      <c r="AA74" s="238">
        <f t="shared" si="23"/>
        <v>23.830256838351797</v>
      </c>
      <c r="AB74" s="239">
        <f t="shared" si="24"/>
        <v>75.420846731774901</v>
      </c>
      <c r="AC74" s="239">
        <f t="shared" si="25"/>
        <v>24.122692628763854</v>
      </c>
      <c r="AD74" s="239">
        <f t="shared" si="29"/>
        <v>77</v>
      </c>
      <c r="AE74" s="239" t="b">
        <f t="shared" si="30"/>
        <v>0</v>
      </c>
      <c r="AF74" s="239">
        <f t="shared" si="19"/>
        <v>77</v>
      </c>
      <c r="AG74" s="239">
        <f t="shared" si="26"/>
        <v>25</v>
      </c>
      <c r="AH74" s="239">
        <f t="shared" si="27"/>
        <v>100</v>
      </c>
      <c r="AI74" s="238">
        <f t="shared" si="31"/>
        <v>92.827415886717418</v>
      </c>
      <c r="AJ74" s="238">
        <f t="shared" si="32"/>
        <v>91</v>
      </c>
      <c r="AK74" s="238">
        <f t="shared" si="33"/>
        <v>91</v>
      </c>
      <c r="AL74" s="238"/>
      <c r="AM74" s="240">
        <f t="shared" si="34"/>
        <v>2.8963426307578234E-2</v>
      </c>
      <c r="AN74" s="238">
        <f t="shared" si="35"/>
        <v>29.473404745358618</v>
      </c>
      <c r="AO74" s="240">
        <f t="shared" si="36"/>
        <v>3.1201370878323226E-2</v>
      </c>
      <c r="AP74" s="238">
        <f t="shared" si="37"/>
        <v>31.606988699741429</v>
      </c>
    </row>
    <row r="75" spans="1:42" ht="22.2" x14ac:dyDescent="0.7">
      <c r="A75" s="118"/>
      <c r="B75" s="118"/>
      <c r="C75" s="118"/>
      <c r="D75" s="118"/>
      <c r="R75" s="220">
        <v>7</v>
      </c>
      <c r="S75" s="220">
        <v>23</v>
      </c>
      <c r="T75" s="220">
        <v>24</v>
      </c>
      <c r="U75" s="220">
        <f t="shared" si="20"/>
        <v>24.444444444444443</v>
      </c>
      <c r="V75" s="237">
        <f t="shared" si="28"/>
        <v>35634.999999999825</v>
      </c>
      <c r="W75" s="234">
        <v>76</v>
      </c>
      <c r="X75" s="234">
        <f t="shared" si="21"/>
        <v>24.444444444444443</v>
      </c>
      <c r="Y75" s="234">
        <v>94</v>
      </c>
      <c r="Z75" s="238">
        <f t="shared" si="22"/>
        <v>74.63104710423832</v>
      </c>
      <c r="AA75" s="238">
        <f t="shared" si="23"/>
        <v>23.683915057910198</v>
      </c>
      <c r="AB75" s="239">
        <f t="shared" si="24"/>
        <v>74.973285328178747</v>
      </c>
      <c r="AC75" s="239">
        <f t="shared" si="25"/>
        <v>23.87404740454377</v>
      </c>
      <c r="AD75" s="239">
        <f t="shared" si="29"/>
        <v>76</v>
      </c>
      <c r="AE75" s="239" t="b">
        <f t="shared" si="30"/>
        <v>0</v>
      </c>
      <c r="AF75" s="239">
        <f t="shared" si="19"/>
        <v>76</v>
      </c>
      <c r="AG75" s="239">
        <f t="shared" si="26"/>
        <v>24.444444444444443</v>
      </c>
      <c r="AH75" s="239">
        <f t="shared" si="27"/>
        <v>100</v>
      </c>
      <c r="AI75" s="238">
        <f t="shared" si="31"/>
        <v>95.262494797251676</v>
      </c>
      <c r="AJ75" s="238">
        <f t="shared" si="32"/>
        <v>94</v>
      </c>
      <c r="AK75" s="238">
        <f t="shared" si="33"/>
        <v>94</v>
      </c>
      <c r="AL75" s="238"/>
      <c r="AM75" s="240">
        <f t="shared" si="34"/>
        <v>2.8755021420490322E-2</v>
      </c>
      <c r="AN75" s="238">
        <f t="shared" si="35"/>
        <v>29.215536920524222</v>
      </c>
      <c r="AO75" s="240">
        <f t="shared" si="36"/>
        <v>3.0185039224187846E-2</v>
      </c>
      <c r="AP75" s="238">
        <f t="shared" si="37"/>
        <v>30.577444734102286</v>
      </c>
    </row>
    <row r="76" spans="1:42" ht="22.2" x14ac:dyDescent="0.7">
      <c r="A76" s="118"/>
      <c r="B76" s="118"/>
      <c r="C76" s="118"/>
      <c r="D76" s="118"/>
      <c r="R76" s="220">
        <v>7</v>
      </c>
      <c r="S76" s="220">
        <v>24</v>
      </c>
      <c r="T76" s="220">
        <v>1</v>
      </c>
      <c r="U76" s="220">
        <f t="shared" si="20"/>
        <v>23.888888888888889</v>
      </c>
      <c r="V76" s="237">
        <f t="shared" si="28"/>
        <v>35635.04166666649</v>
      </c>
      <c r="W76" s="234">
        <v>75</v>
      </c>
      <c r="X76" s="234">
        <f t="shared" si="21"/>
        <v>23.888888888888889</v>
      </c>
      <c r="Y76" s="234">
        <v>94</v>
      </c>
      <c r="Z76" s="238">
        <f t="shared" si="22"/>
        <v>73.636914244919737</v>
      </c>
      <c r="AA76" s="238">
        <f t="shared" si="23"/>
        <v>23.13161902495543</v>
      </c>
      <c r="AB76" s="239">
        <f t="shared" si="24"/>
        <v>73.977685683689799</v>
      </c>
      <c r="AC76" s="239">
        <f t="shared" si="25"/>
        <v>23.320936490938799</v>
      </c>
      <c r="AD76" s="239">
        <f t="shared" si="29"/>
        <v>75</v>
      </c>
      <c r="AE76" s="239" t="b">
        <f t="shared" si="30"/>
        <v>0</v>
      </c>
      <c r="AF76" s="239">
        <f t="shared" si="19"/>
        <v>75</v>
      </c>
      <c r="AG76" s="239">
        <f t="shared" si="26"/>
        <v>23.888888888888889</v>
      </c>
      <c r="AH76" s="239">
        <f t="shared" si="27"/>
        <v>100</v>
      </c>
      <c r="AI76" s="238">
        <f t="shared" si="31"/>
        <v>95.25544034497922</v>
      </c>
      <c r="AJ76" s="238">
        <f t="shared" si="32"/>
        <v>94</v>
      </c>
      <c r="AK76" s="238">
        <f t="shared" si="33"/>
        <v>94</v>
      </c>
      <c r="AL76" s="238"/>
      <c r="AM76" s="240">
        <f t="shared" si="34"/>
        <v>2.7812403044239455E-2</v>
      </c>
      <c r="AN76" s="238">
        <f t="shared" si="35"/>
        <v>28.259990232327233</v>
      </c>
      <c r="AO76" s="240">
        <f t="shared" si="36"/>
        <v>2.9197705604544408E-2</v>
      </c>
      <c r="AP76" s="238">
        <f t="shared" si="37"/>
        <v>29.577275777403486</v>
      </c>
    </row>
    <row r="77" spans="1:42" ht="22.2" x14ac:dyDescent="0.7">
      <c r="A77" s="118"/>
      <c r="B77" s="118"/>
      <c r="C77" s="118"/>
      <c r="D77" s="118"/>
      <c r="R77" s="220">
        <v>7</v>
      </c>
      <c r="S77" s="220">
        <v>24</v>
      </c>
      <c r="T77" s="220">
        <v>2</v>
      </c>
      <c r="U77" s="220">
        <f t="shared" si="20"/>
        <v>24.444444444444443</v>
      </c>
      <c r="V77" s="237">
        <f t="shared" si="28"/>
        <v>35635.083333333154</v>
      </c>
      <c r="W77" s="234">
        <v>76</v>
      </c>
      <c r="X77" s="234">
        <f t="shared" si="21"/>
        <v>24.444444444444443</v>
      </c>
      <c r="Y77" s="234">
        <v>87</v>
      </c>
      <c r="Z77" s="238">
        <f t="shared" si="22"/>
        <v>72.938966056258423</v>
      </c>
      <c r="AA77" s="238">
        <f t="shared" si="23"/>
        <v>22.743870031254698</v>
      </c>
      <c r="AB77" s="239">
        <f t="shared" si="24"/>
        <v>73.704224542193813</v>
      </c>
      <c r="AC77" s="239">
        <f t="shared" si="25"/>
        <v>23.169013634552137</v>
      </c>
      <c r="AD77" s="239">
        <f t="shared" si="29"/>
        <v>76</v>
      </c>
      <c r="AE77" s="239" t="b">
        <f t="shared" si="30"/>
        <v>0</v>
      </c>
      <c r="AF77" s="239">
        <f t="shared" si="19"/>
        <v>76</v>
      </c>
      <c r="AG77" s="239">
        <f t="shared" si="26"/>
        <v>24.444444444444443</v>
      </c>
      <c r="AH77" s="239">
        <f t="shared" si="27"/>
        <v>100</v>
      </c>
      <c r="AI77" s="238">
        <f t="shared" si="31"/>
        <v>89.65071066046157</v>
      </c>
      <c r="AJ77" s="238">
        <f t="shared" si="32"/>
        <v>87</v>
      </c>
      <c r="AK77" s="238">
        <f t="shared" si="33"/>
        <v>87</v>
      </c>
      <c r="AL77" s="238"/>
      <c r="AM77" s="240">
        <f t="shared" si="34"/>
        <v>2.7061102177623478E-2</v>
      </c>
      <c r="AN77" s="238">
        <f t="shared" si="35"/>
        <v>27.605540191753995</v>
      </c>
      <c r="AO77" s="240">
        <f t="shared" si="36"/>
        <v>3.0185039224187846E-2</v>
      </c>
      <c r="AP77" s="238">
        <f t="shared" si="37"/>
        <v>30.577444734102286</v>
      </c>
    </row>
    <row r="78" spans="1:42" ht="22.2" x14ac:dyDescent="0.7">
      <c r="A78" s="118"/>
      <c r="B78" s="118"/>
      <c r="C78" s="118"/>
      <c r="D78" s="118"/>
      <c r="R78" s="220">
        <v>7</v>
      </c>
      <c r="S78" s="220">
        <v>24</v>
      </c>
      <c r="T78" s="220">
        <v>3</v>
      </c>
      <c r="U78" s="220">
        <f t="shared" si="20"/>
        <v>24.444444444444443</v>
      </c>
      <c r="V78" s="237">
        <f t="shared" si="28"/>
        <v>35635.124999999818</v>
      </c>
      <c r="W78" s="234">
        <v>76</v>
      </c>
      <c r="X78" s="234">
        <f t="shared" si="21"/>
        <v>24.444444444444443</v>
      </c>
      <c r="Y78" s="234">
        <v>87</v>
      </c>
      <c r="Z78" s="238">
        <f t="shared" si="22"/>
        <v>72.938966056258423</v>
      </c>
      <c r="AA78" s="238">
        <f t="shared" si="23"/>
        <v>22.743870031254698</v>
      </c>
      <c r="AB78" s="239">
        <f t="shared" si="24"/>
        <v>73.704224542193813</v>
      </c>
      <c r="AC78" s="239">
        <f t="shared" si="25"/>
        <v>23.169013634552137</v>
      </c>
      <c r="AD78" s="239">
        <f t="shared" si="29"/>
        <v>76</v>
      </c>
      <c r="AE78" s="239" t="b">
        <f t="shared" si="30"/>
        <v>0</v>
      </c>
      <c r="AF78" s="239">
        <f t="shared" ref="AF78:AF141" si="38">+IF(AE78=TRUE,$H$4,AD78)</f>
        <v>76</v>
      </c>
      <c r="AG78" s="239">
        <f t="shared" si="26"/>
        <v>24.444444444444443</v>
      </c>
      <c r="AH78" s="239">
        <f t="shared" si="27"/>
        <v>100</v>
      </c>
      <c r="AI78" s="238">
        <f t="shared" si="31"/>
        <v>89.65071066046157</v>
      </c>
      <c r="AJ78" s="238">
        <f t="shared" si="32"/>
        <v>87</v>
      </c>
      <c r="AK78" s="238">
        <f t="shared" si="33"/>
        <v>87</v>
      </c>
      <c r="AL78" s="238"/>
      <c r="AM78" s="240">
        <f t="shared" si="34"/>
        <v>2.7061102177623478E-2</v>
      </c>
      <c r="AN78" s="238">
        <f t="shared" si="35"/>
        <v>27.605540191753995</v>
      </c>
      <c r="AO78" s="240">
        <f t="shared" si="36"/>
        <v>3.0185039224187846E-2</v>
      </c>
      <c r="AP78" s="238">
        <f t="shared" si="37"/>
        <v>30.577444734102286</v>
      </c>
    </row>
    <row r="79" spans="1:42" ht="22.2" x14ac:dyDescent="0.7">
      <c r="A79" s="118"/>
      <c r="B79" s="118"/>
      <c r="C79" s="118"/>
      <c r="D79" s="118"/>
      <c r="R79" s="220">
        <v>7</v>
      </c>
      <c r="S79" s="220">
        <v>24</v>
      </c>
      <c r="T79" s="220">
        <v>4</v>
      </c>
      <c r="U79" s="220">
        <f t="shared" si="20"/>
        <v>23.888888888888889</v>
      </c>
      <c r="V79" s="237">
        <f t="shared" si="28"/>
        <v>35635.166666666482</v>
      </c>
      <c r="W79" s="234">
        <v>75</v>
      </c>
      <c r="X79" s="234">
        <f t="shared" si="21"/>
        <v>23.888888888888889</v>
      </c>
      <c r="Y79" s="234">
        <v>90</v>
      </c>
      <c r="Z79" s="238">
        <f t="shared" si="22"/>
        <v>72.680469769698121</v>
      </c>
      <c r="AA79" s="238">
        <f t="shared" si="23"/>
        <v>22.60026098316564</v>
      </c>
      <c r="AB79" s="239">
        <f t="shared" si="24"/>
        <v>73.260352327273594</v>
      </c>
      <c r="AC79" s="239">
        <f t="shared" si="25"/>
        <v>22.922417959596462</v>
      </c>
      <c r="AD79" s="239">
        <f t="shared" si="29"/>
        <v>75</v>
      </c>
      <c r="AE79" s="239" t="b">
        <f t="shared" si="30"/>
        <v>0</v>
      </c>
      <c r="AF79" s="239">
        <f t="shared" si="38"/>
        <v>75</v>
      </c>
      <c r="AG79" s="239">
        <f t="shared" si="26"/>
        <v>23.888888888888889</v>
      </c>
      <c r="AH79" s="239">
        <f t="shared" si="27"/>
        <v>100</v>
      </c>
      <c r="AI79" s="238">
        <f t="shared" si="31"/>
        <v>92.032344221390048</v>
      </c>
      <c r="AJ79" s="238">
        <f t="shared" si="32"/>
        <v>90</v>
      </c>
      <c r="AK79" s="238">
        <f t="shared" si="33"/>
        <v>90</v>
      </c>
      <c r="AL79" s="238"/>
      <c r="AM79" s="240">
        <f t="shared" si="34"/>
        <v>2.6871332926722405E-2</v>
      </c>
      <c r="AN79" s="238">
        <f t="shared" si="35"/>
        <v>27.366534310445367</v>
      </c>
      <c r="AO79" s="240">
        <f t="shared" si="36"/>
        <v>2.9197705604544408E-2</v>
      </c>
      <c r="AP79" s="238">
        <f t="shared" si="37"/>
        <v>29.577275777403486</v>
      </c>
    </row>
    <row r="80" spans="1:42" ht="22.2" x14ac:dyDescent="0.7">
      <c r="A80" s="118"/>
      <c r="B80" s="118"/>
      <c r="C80" s="118"/>
      <c r="D80" s="118"/>
      <c r="R80" s="220">
        <v>7</v>
      </c>
      <c r="S80" s="220">
        <v>24</v>
      </c>
      <c r="T80" s="220">
        <v>5</v>
      </c>
      <c r="U80" s="220">
        <f t="shared" si="20"/>
        <v>23.333333333333332</v>
      </c>
      <c r="V80" s="237">
        <f t="shared" si="28"/>
        <v>35635.208333333147</v>
      </c>
      <c r="W80" s="234">
        <v>74</v>
      </c>
      <c r="X80" s="234">
        <f t="shared" si="21"/>
        <v>23.333333333333332</v>
      </c>
      <c r="Y80" s="234">
        <v>94</v>
      </c>
      <c r="Z80" s="238">
        <f t="shared" si="22"/>
        <v>72.642780707513225</v>
      </c>
      <c r="AA80" s="238">
        <f t="shared" si="23"/>
        <v>22.579322615285143</v>
      </c>
      <c r="AB80" s="239">
        <f t="shared" si="24"/>
        <v>72.982085530634919</v>
      </c>
      <c r="AC80" s="239">
        <f t="shared" si="25"/>
        <v>22.767825294797195</v>
      </c>
      <c r="AD80" s="239">
        <f t="shared" si="29"/>
        <v>74</v>
      </c>
      <c r="AE80" s="239" t="b">
        <f t="shared" si="30"/>
        <v>0</v>
      </c>
      <c r="AF80" s="239">
        <f t="shared" si="38"/>
        <v>74</v>
      </c>
      <c r="AG80" s="239">
        <f t="shared" si="26"/>
        <v>23.333333333333332</v>
      </c>
      <c r="AH80" s="239">
        <f t="shared" si="27"/>
        <v>100</v>
      </c>
      <c r="AI80" s="238">
        <f t="shared" si="31"/>
        <v>95.248173437966543</v>
      </c>
      <c r="AJ80" s="238">
        <f t="shared" si="32"/>
        <v>94</v>
      </c>
      <c r="AK80" s="238">
        <f t="shared" si="33"/>
        <v>94</v>
      </c>
      <c r="AL80" s="238"/>
      <c r="AM80" s="240">
        <f t="shared" si="34"/>
        <v>2.6896816755249631E-2</v>
      </c>
      <c r="AN80" s="238">
        <f t="shared" si="35"/>
        <v>27.331838339919944</v>
      </c>
      <c r="AO80" s="240">
        <f t="shared" si="36"/>
        <v>2.8238669345997541E-2</v>
      </c>
      <c r="AP80" s="238">
        <f t="shared" si="37"/>
        <v>28.60577204749551</v>
      </c>
    </row>
    <row r="81" spans="1:42" ht="22.2" x14ac:dyDescent="0.7">
      <c r="A81" s="118"/>
      <c r="B81" s="118"/>
      <c r="C81" s="118"/>
      <c r="D81" s="118"/>
      <c r="R81" s="220">
        <v>7</v>
      </c>
      <c r="S81" s="220">
        <v>24</v>
      </c>
      <c r="T81" s="220">
        <v>6</v>
      </c>
      <c r="U81" s="220">
        <f t="shared" si="20"/>
        <v>23.333333333333332</v>
      </c>
      <c r="V81" s="237">
        <f t="shared" si="28"/>
        <v>35635.249999999811</v>
      </c>
      <c r="W81" s="234">
        <v>74</v>
      </c>
      <c r="X81" s="234">
        <f t="shared" si="21"/>
        <v>23.333333333333332</v>
      </c>
      <c r="Y81" s="234">
        <v>94</v>
      </c>
      <c r="Z81" s="238">
        <f t="shared" si="22"/>
        <v>72.642780707513225</v>
      </c>
      <c r="AA81" s="238">
        <f t="shared" si="23"/>
        <v>22.579322615285143</v>
      </c>
      <c r="AB81" s="239">
        <f t="shared" si="24"/>
        <v>72.982085530634919</v>
      </c>
      <c r="AC81" s="239">
        <f t="shared" si="25"/>
        <v>22.767825294797195</v>
      </c>
      <c r="AD81" s="239">
        <f t="shared" si="29"/>
        <v>74</v>
      </c>
      <c r="AE81" s="239" t="b">
        <f t="shared" si="30"/>
        <v>0</v>
      </c>
      <c r="AF81" s="239">
        <f t="shared" si="38"/>
        <v>74</v>
      </c>
      <c r="AG81" s="239">
        <f t="shared" si="26"/>
        <v>23.333333333333332</v>
      </c>
      <c r="AH81" s="239">
        <f t="shared" si="27"/>
        <v>100</v>
      </c>
      <c r="AI81" s="238">
        <f t="shared" si="31"/>
        <v>95.248173437966543</v>
      </c>
      <c r="AJ81" s="238">
        <f t="shared" si="32"/>
        <v>94</v>
      </c>
      <c r="AK81" s="238">
        <f t="shared" si="33"/>
        <v>94</v>
      </c>
      <c r="AL81" s="238"/>
      <c r="AM81" s="240">
        <f t="shared" si="34"/>
        <v>2.6896816755249631E-2</v>
      </c>
      <c r="AN81" s="238">
        <f t="shared" si="35"/>
        <v>27.331838339919944</v>
      </c>
      <c r="AO81" s="240">
        <f t="shared" si="36"/>
        <v>2.8238669345997541E-2</v>
      </c>
      <c r="AP81" s="238">
        <f t="shared" si="37"/>
        <v>28.60577204749551</v>
      </c>
    </row>
    <row r="82" spans="1:42" ht="22.2" x14ac:dyDescent="0.7">
      <c r="A82" s="118"/>
      <c r="B82" s="118"/>
      <c r="C82" s="118"/>
      <c r="D82" s="118"/>
      <c r="R82" s="220">
        <v>7</v>
      </c>
      <c r="S82" s="220">
        <v>24</v>
      </c>
      <c r="T82" s="220">
        <v>7</v>
      </c>
      <c r="U82" s="220">
        <f t="shared" si="20"/>
        <v>25</v>
      </c>
      <c r="V82" s="237">
        <f t="shared" si="28"/>
        <v>35635.291666666475</v>
      </c>
      <c r="W82" s="234">
        <v>77</v>
      </c>
      <c r="X82" s="234">
        <f t="shared" si="21"/>
        <v>25</v>
      </c>
      <c r="Y82" s="234">
        <v>91</v>
      </c>
      <c r="Z82" s="238">
        <f t="shared" si="22"/>
        <v>74.894462309033202</v>
      </c>
      <c r="AA82" s="238">
        <f t="shared" si="23"/>
        <v>23.830256838351797</v>
      </c>
      <c r="AB82" s="239">
        <f t="shared" si="24"/>
        <v>75.420846731774901</v>
      </c>
      <c r="AC82" s="239">
        <f t="shared" si="25"/>
        <v>24.122692628763854</v>
      </c>
      <c r="AD82" s="239">
        <f t="shared" si="29"/>
        <v>77</v>
      </c>
      <c r="AE82" s="239" t="b">
        <f t="shared" si="30"/>
        <v>0</v>
      </c>
      <c r="AF82" s="239">
        <f t="shared" si="38"/>
        <v>77</v>
      </c>
      <c r="AG82" s="239">
        <f t="shared" si="26"/>
        <v>25</v>
      </c>
      <c r="AH82" s="239">
        <f t="shared" si="27"/>
        <v>100</v>
      </c>
      <c r="AI82" s="238">
        <f t="shared" si="31"/>
        <v>92.827415886717418</v>
      </c>
      <c r="AJ82" s="238">
        <f t="shared" si="32"/>
        <v>91</v>
      </c>
      <c r="AK82" s="238">
        <f t="shared" si="33"/>
        <v>91</v>
      </c>
      <c r="AL82" s="238"/>
      <c r="AM82" s="240">
        <f t="shared" si="34"/>
        <v>2.8963426307578234E-2</v>
      </c>
      <c r="AN82" s="238">
        <f t="shared" si="35"/>
        <v>29.473404745358618</v>
      </c>
      <c r="AO82" s="240">
        <f t="shared" si="36"/>
        <v>3.1201370878323226E-2</v>
      </c>
      <c r="AP82" s="238">
        <f t="shared" si="37"/>
        <v>31.606988699741429</v>
      </c>
    </row>
    <row r="83" spans="1:42" ht="22.2" x14ac:dyDescent="0.7">
      <c r="A83" s="118"/>
      <c r="B83" s="118"/>
      <c r="C83" s="118"/>
      <c r="D83" s="118"/>
      <c r="R83" s="220">
        <v>7</v>
      </c>
      <c r="S83" s="220">
        <v>24</v>
      </c>
      <c r="T83" s="220">
        <v>8</v>
      </c>
      <c r="U83" s="220">
        <f t="shared" si="20"/>
        <v>26.666666666666668</v>
      </c>
      <c r="V83" s="237">
        <f t="shared" si="28"/>
        <v>35635.333333333139</v>
      </c>
      <c r="W83" s="234">
        <v>80</v>
      </c>
      <c r="X83" s="234">
        <f t="shared" si="21"/>
        <v>26.666666666666668</v>
      </c>
      <c r="Y83" s="234">
        <v>79</v>
      </c>
      <c r="Z83" s="238">
        <f t="shared" si="22"/>
        <v>74.817277070195615</v>
      </c>
      <c r="AA83" s="238">
        <f t="shared" si="23"/>
        <v>23.787376150108695</v>
      </c>
      <c r="AB83" s="239">
        <f t="shared" si="24"/>
        <v>76.112957802646719</v>
      </c>
      <c r="AC83" s="239">
        <f t="shared" si="25"/>
        <v>24.507198779248199</v>
      </c>
      <c r="AD83" s="239">
        <f t="shared" si="29"/>
        <v>80</v>
      </c>
      <c r="AE83" s="239" t="b">
        <f t="shared" si="30"/>
        <v>0</v>
      </c>
      <c r="AF83" s="239">
        <f t="shared" si="38"/>
        <v>80</v>
      </c>
      <c r="AG83" s="239">
        <f t="shared" si="26"/>
        <v>26.666666666666668</v>
      </c>
      <c r="AH83" s="239">
        <f t="shared" si="27"/>
        <v>100</v>
      </c>
      <c r="AI83" s="238">
        <f t="shared" si="31"/>
        <v>83.343343633009709</v>
      </c>
      <c r="AJ83" s="238">
        <f t="shared" si="32"/>
        <v>79</v>
      </c>
      <c r="AK83" s="238">
        <f t="shared" si="33"/>
        <v>79</v>
      </c>
      <c r="AL83" s="238"/>
      <c r="AM83" s="240">
        <f t="shared" si="34"/>
        <v>2.8696419540762554E-2</v>
      </c>
      <c r="AN83" s="238">
        <f t="shared" si="35"/>
        <v>29.397640077849754</v>
      </c>
      <c r="AO83" s="240">
        <f t="shared" si="36"/>
        <v>3.4431567405218425E-2</v>
      </c>
      <c r="AP83" s="238">
        <f t="shared" si="37"/>
        <v>34.879177781486263</v>
      </c>
    </row>
    <row r="84" spans="1:42" ht="22.2" x14ac:dyDescent="0.7">
      <c r="A84" s="118"/>
      <c r="B84" s="118"/>
      <c r="C84" s="118"/>
      <c r="D84" s="118"/>
      <c r="R84" s="220">
        <v>7</v>
      </c>
      <c r="S84" s="220">
        <v>24</v>
      </c>
      <c r="T84" s="220">
        <v>9</v>
      </c>
      <c r="U84" s="220">
        <f t="shared" si="20"/>
        <v>27.222222222222221</v>
      </c>
      <c r="V84" s="237">
        <f t="shared" si="28"/>
        <v>35635.374999999804</v>
      </c>
      <c r="W84" s="234">
        <v>81</v>
      </c>
      <c r="X84" s="234">
        <f t="shared" si="21"/>
        <v>27.222222222222221</v>
      </c>
      <c r="Y84" s="234">
        <v>79</v>
      </c>
      <c r="Z84" s="238">
        <f t="shared" si="22"/>
        <v>75.774639524657658</v>
      </c>
      <c r="AA84" s="238">
        <f t="shared" si="23"/>
        <v>24.319244180365388</v>
      </c>
      <c r="AB84" s="239">
        <f t="shared" si="24"/>
        <v>77.080979643493237</v>
      </c>
      <c r="AC84" s="239">
        <f t="shared" si="25"/>
        <v>25.044988690829598</v>
      </c>
      <c r="AD84" s="239">
        <f t="shared" si="29"/>
        <v>81</v>
      </c>
      <c r="AE84" s="239" t="b">
        <f t="shared" si="30"/>
        <v>0</v>
      </c>
      <c r="AF84" s="239">
        <f t="shared" si="38"/>
        <v>81</v>
      </c>
      <c r="AG84" s="239">
        <f t="shared" si="26"/>
        <v>27.222222222222221</v>
      </c>
      <c r="AH84" s="239">
        <f t="shared" si="27"/>
        <v>100</v>
      </c>
      <c r="AI84" s="238">
        <f t="shared" si="31"/>
        <v>83.304162724630501</v>
      </c>
      <c r="AJ84" s="238">
        <f t="shared" si="32"/>
        <v>79</v>
      </c>
      <c r="AK84" s="238">
        <f t="shared" si="33"/>
        <v>79</v>
      </c>
      <c r="AL84" s="238"/>
      <c r="AM84" s="240">
        <f t="shared" si="34"/>
        <v>2.9632269277671333E-2</v>
      </c>
      <c r="AN84" s="238">
        <f t="shared" si="35"/>
        <v>30.349507662678164</v>
      </c>
      <c r="AO84" s="240">
        <f t="shared" si="36"/>
        <v>3.5571174727034346E-2</v>
      </c>
      <c r="AP84" s="238">
        <f t="shared" si="37"/>
        <v>36.033599998485791</v>
      </c>
    </row>
    <row r="85" spans="1:42" ht="22.2" x14ac:dyDescent="0.7">
      <c r="A85" s="118"/>
      <c r="B85" s="118"/>
      <c r="C85" s="118"/>
      <c r="D85" s="118"/>
      <c r="R85" s="220">
        <v>7</v>
      </c>
      <c r="S85" s="220">
        <v>24</v>
      </c>
      <c r="T85" s="220">
        <v>10</v>
      </c>
      <c r="U85" s="220">
        <f t="shared" si="20"/>
        <v>27.777777777777779</v>
      </c>
      <c r="V85" s="237">
        <f t="shared" si="28"/>
        <v>35635.416666666468</v>
      </c>
      <c r="W85" s="234">
        <v>82</v>
      </c>
      <c r="X85" s="234">
        <f t="shared" si="21"/>
        <v>27.777777777777779</v>
      </c>
      <c r="Y85" s="234">
        <v>79</v>
      </c>
      <c r="Z85" s="238">
        <f t="shared" si="22"/>
        <v>76.732001052191208</v>
      </c>
      <c r="AA85" s="238">
        <f t="shared" si="23"/>
        <v>24.851111695661803</v>
      </c>
      <c r="AB85" s="239">
        <f t="shared" si="24"/>
        <v>78.049000789143406</v>
      </c>
      <c r="AC85" s="239">
        <f t="shared" si="25"/>
        <v>25.582778216190803</v>
      </c>
      <c r="AD85" s="239">
        <f t="shared" si="29"/>
        <v>82</v>
      </c>
      <c r="AE85" s="239" t="b">
        <f t="shared" si="30"/>
        <v>0</v>
      </c>
      <c r="AF85" s="239">
        <f t="shared" si="38"/>
        <v>82</v>
      </c>
      <c r="AG85" s="239">
        <f t="shared" si="26"/>
        <v>27.777777777777779</v>
      </c>
      <c r="AH85" s="239">
        <f t="shared" si="27"/>
        <v>100</v>
      </c>
      <c r="AI85" s="238">
        <f t="shared" si="31"/>
        <v>83.265081632107893</v>
      </c>
      <c r="AJ85" s="238">
        <f t="shared" si="32"/>
        <v>79</v>
      </c>
      <c r="AK85" s="238">
        <f t="shared" si="33"/>
        <v>79</v>
      </c>
      <c r="AL85" s="238"/>
      <c r="AM85" s="240">
        <f t="shared" si="34"/>
        <v>3.059449916917302E-2</v>
      </c>
      <c r="AN85" s="238">
        <f t="shared" si="35"/>
        <v>31.328149942027842</v>
      </c>
      <c r="AO85" s="240">
        <f t="shared" si="36"/>
        <v>3.6743492673614889E-2</v>
      </c>
      <c r="AP85" s="238">
        <f t="shared" si="37"/>
        <v>37.221158078371879</v>
      </c>
    </row>
    <row r="86" spans="1:42" ht="22.2" x14ac:dyDescent="0.7">
      <c r="A86" s="118"/>
      <c r="B86" s="118"/>
      <c r="C86" s="118"/>
      <c r="D86" s="118"/>
      <c r="R86" s="220">
        <v>7</v>
      </c>
      <c r="S86" s="220">
        <v>24</v>
      </c>
      <c r="T86" s="220">
        <v>11</v>
      </c>
      <c r="U86" s="220">
        <f t="shared" si="20"/>
        <v>28.333333333333332</v>
      </c>
      <c r="V86" s="237">
        <f t="shared" si="28"/>
        <v>35635.458333333132</v>
      </c>
      <c r="W86" s="234">
        <v>83</v>
      </c>
      <c r="X86" s="234">
        <f t="shared" si="21"/>
        <v>28.333333333333332</v>
      </c>
      <c r="Y86" s="234">
        <v>80</v>
      </c>
      <c r="Z86" s="238">
        <f t="shared" si="22"/>
        <v>77.953339755491726</v>
      </c>
      <c r="AA86" s="238">
        <f t="shared" si="23"/>
        <v>25.529633197495425</v>
      </c>
      <c r="AB86" s="239">
        <f t="shared" si="24"/>
        <v>79.215004816618801</v>
      </c>
      <c r="AC86" s="239">
        <f t="shared" si="25"/>
        <v>26.230558231454911</v>
      </c>
      <c r="AD86" s="239">
        <f t="shared" si="29"/>
        <v>83</v>
      </c>
      <c r="AE86" s="239" t="b">
        <f t="shared" si="30"/>
        <v>0</v>
      </c>
      <c r="AF86" s="239">
        <f t="shared" si="38"/>
        <v>83</v>
      </c>
      <c r="AG86" s="239">
        <f t="shared" si="26"/>
        <v>28.333333333333332</v>
      </c>
      <c r="AH86" s="239">
        <f t="shared" si="27"/>
        <v>100</v>
      </c>
      <c r="AI86" s="238">
        <f t="shared" si="31"/>
        <v>84.003508455155469</v>
      </c>
      <c r="AJ86" s="238">
        <f t="shared" si="32"/>
        <v>80</v>
      </c>
      <c r="AK86" s="238">
        <f t="shared" si="33"/>
        <v>80</v>
      </c>
      <c r="AL86" s="238"/>
      <c r="AM86" s="240">
        <f t="shared" si="34"/>
        <v>3.1878749242251737E-2</v>
      </c>
      <c r="AN86" s="238">
        <f t="shared" si="35"/>
        <v>32.616508080617834</v>
      </c>
      <c r="AO86" s="240">
        <f t="shared" si="36"/>
        <v>3.7949306914091485E-2</v>
      </c>
      <c r="AP86" s="238">
        <f t="shared" si="37"/>
        <v>38.442647903974674</v>
      </c>
    </row>
    <row r="87" spans="1:42" ht="22.2" x14ac:dyDescent="0.7">
      <c r="A87" s="118"/>
      <c r="B87" s="118"/>
      <c r="C87" s="118"/>
      <c r="D87" s="118"/>
      <c r="R87" s="220">
        <v>7</v>
      </c>
      <c r="S87" s="220">
        <v>24</v>
      </c>
      <c r="T87" s="220">
        <v>12</v>
      </c>
      <c r="U87" s="220">
        <f t="shared" si="20"/>
        <v>30.555555555555557</v>
      </c>
      <c r="V87" s="237">
        <f t="shared" si="28"/>
        <v>35635.499999999796</v>
      </c>
      <c r="W87" s="234">
        <v>87</v>
      </c>
      <c r="X87" s="234">
        <f t="shared" si="21"/>
        <v>30.555555555555557</v>
      </c>
      <c r="Y87" s="234">
        <v>70</v>
      </c>
      <c r="Z87" s="238">
        <f t="shared" si="22"/>
        <v>79.003735206665596</v>
      </c>
      <c r="AA87" s="238">
        <f t="shared" si="23"/>
        <v>26.113186225925354</v>
      </c>
      <c r="AB87" s="239">
        <f t="shared" si="24"/>
        <v>81.00280140499919</v>
      </c>
      <c r="AC87" s="239">
        <f t="shared" si="25"/>
        <v>27.223778558332906</v>
      </c>
      <c r="AD87" s="239">
        <f t="shared" si="29"/>
        <v>87</v>
      </c>
      <c r="AE87" s="239" t="b">
        <f t="shared" si="30"/>
        <v>0</v>
      </c>
      <c r="AF87" s="239">
        <f t="shared" si="38"/>
        <v>87</v>
      </c>
      <c r="AG87" s="239">
        <f t="shared" si="26"/>
        <v>30.555555555555557</v>
      </c>
      <c r="AH87" s="239">
        <f t="shared" si="27"/>
        <v>100</v>
      </c>
      <c r="AI87" s="238">
        <f t="shared" si="31"/>
        <v>76.107663044961242</v>
      </c>
      <c r="AJ87" s="238">
        <f t="shared" si="32"/>
        <v>70</v>
      </c>
      <c r="AK87" s="238">
        <f t="shared" si="33"/>
        <v>70</v>
      </c>
      <c r="AL87" s="238"/>
      <c r="AM87" s="240">
        <f t="shared" si="34"/>
        <v>3.2820488251156368E-2</v>
      </c>
      <c r="AN87" s="238">
        <f t="shared" si="35"/>
        <v>33.761242275734475</v>
      </c>
      <c r="AO87" s="240">
        <f t="shared" si="36"/>
        <v>4.3123763019457563E-2</v>
      </c>
      <c r="AP87" s="238">
        <f t="shared" si="37"/>
        <v>43.684371938710512</v>
      </c>
    </row>
    <row r="88" spans="1:42" ht="22.2" x14ac:dyDescent="0.7">
      <c r="A88" s="118"/>
      <c r="B88" s="118"/>
      <c r="C88" s="118"/>
      <c r="D88" s="118"/>
      <c r="R88" s="220">
        <v>7</v>
      </c>
      <c r="S88" s="220">
        <v>24</v>
      </c>
      <c r="T88" s="220">
        <v>13</v>
      </c>
      <c r="U88" s="220">
        <f t="shared" si="20"/>
        <v>31.666666666666668</v>
      </c>
      <c r="V88" s="237">
        <f t="shared" si="28"/>
        <v>35635.541666666461</v>
      </c>
      <c r="W88" s="234">
        <v>89</v>
      </c>
      <c r="X88" s="234">
        <f t="shared" si="21"/>
        <v>31.666666666666668</v>
      </c>
      <c r="Y88" s="234">
        <v>68</v>
      </c>
      <c r="Z88" s="238">
        <f t="shared" si="22"/>
        <v>80.283220881754104</v>
      </c>
      <c r="AA88" s="238">
        <f t="shared" si="23"/>
        <v>26.824011600974526</v>
      </c>
      <c r="AB88" s="239">
        <f t="shared" si="24"/>
        <v>82.462415661315575</v>
      </c>
      <c r="AC88" s="239">
        <f t="shared" si="25"/>
        <v>28.034675367397565</v>
      </c>
      <c r="AD88" s="239">
        <f t="shared" si="29"/>
        <v>89</v>
      </c>
      <c r="AE88" s="239" t="b">
        <f t="shared" si="30"/>
        <v>0</v>
      </c>
      <c r="AF88" s="239">
        <f t="shared" si="38"/>
        <v>89</v>
      </c>
      <c r="AG88" s="239">
        <f t="shared" si="26"/>
        <v>31.666666666666668</v>
      </c>
      <c r="AH88" s="239">
        <f t="shared" si="27"/>
        <v>100</v>
      </c>
      <c r="AI88" s="238">
        <f t="shared" si="31"/>
        <v>74.444675803515054</v>
      </c>
      <c r="AJ88" s="238">
        <f t="shared" si="32"/>
        <v>68</v>
      </c>
      <c r="AK88" s="238">
        <f t="shared" si="33"/>
        <v>68</v>
      </c>
      <c r="AL88" s="238"/>
      <c r="AM88" s="240">
        <f t="shared" si="34"/>
        <v>3.4195047986526499E-2</v>
      </c>
      <c r="AN88" s="238">
        <f t="shared" si="35"/>
        <v>35.202816499838207</v>
      </c>
      <c r="AO88" s="240">
        <f t="shared" si="36"/>
        <v>4.5933503796535997E-2</v>
      </c>
      <c r="AP88" s="238">
        <f t="shared" si="37"/>
        <v>46.530639345890968</v>
      </c>
    </row>
    <row r="89" spans="1:42" ht="22.2" x14ac:dyDescent="0.7">
      <c r="A89" s="118"/>
      <c r="B89" s="118"/>
      <c r="C89" s="118"/>
      <c r="D89" s="118"/>
      <c r="R89" s="220">
        <v>7</v>
      </c>
      <c r="S89" s="220">
        <v>24</v>
      </c>
      <c r="T89" s="220">
        <v>14</v>
      </c>
      <c r="U89" s="220">
        <f t="shared" si="20"/>
        <v>32.777777777777779</v>
      </c>
      <c r="V89" s="237">
        <f t="shared" si="28"/>
        <v>35635.583333333125</v>
      </c>
      <c r="W89" s="234">
        <v>91</v>
      </c>
      <c r="X89" s="234">
        <f t="shared" si="21"/>
        <v>32.777777777777779</v>
      </c>
      <c r="Y89" s="234">
        <v>62</v>
      </c>
      <c r="Z89" s="238">
        <f t="shared" si="22"/>
        <v>80.307808745367055</v>
      </c>
      <c r="AA89" s="238">
        <f t="shared" si="23"/>
        <v>26.837671525203941</v>
      </c>
      <c r="AB89" s="239">
        <f t="shared" si="24"/>
        <v>82.980856559025284</v>
      </c>
      <c r="AC89" s="239">
        <f t="shared" si="25"/>
        <v>28.322698088347405</v>
      </c>
      <c r="AD89" s="239">
        <f t="shared" si="29"/>
        <v>91</v>
      </c>
      <c r="AE89" s="239" t="b">
        <f t="shared" si="30"/>
        <v>0</v>
      </c>
      <c r="AF89" s="239">
        <f t="shared" si="38"/>
        <v>91</v>
      </c>
      <c r="AG89" s="239">
        <f t="shared" si="26"/>
        <v>32.777777777777779</v>
      </c>
      <c r="AH89" s="239">
        <f t="shared" si="27"/>
        <v>100</v>
      </c>
      <c r="AI89" s="238">
        <f t="shared" si="31"/>
        <v>69.726963987443497</v>
      </c>
      <c r="AJ89" s="238">
        <f t="shared" si="32"/>
        <v>62</v>
      </c>
      <c r="AK89" s="238">
        <f t="shared" si="33"/>
        <v>62</v>
      </c>
      <c r="AL89" s="238"/>
      <c r="AM89" s="240">
        <f t="shared" si="34"/>
        <v>3.4097146214952363E-2</v>
      </c>
      <c r="AN89" s="238">
        <f t="shared" si="35"/>
        <v>35.23103625383424</v>
      </c>
      <c r="AO89" s="240">
        <f t="shared" si="36"/>
        <v>4.8900947732490714E-2</v>
      </c>
      <c r="AP89" s="238">
        <f t="shared" si="37"/>
        <v>49.536660053013094</v>
      </c>
    </row>
    <row r="90" spans="1:42" ht="22.2" x14ac:dyDescent="0.7">
      <c r="A90" s="118"/>
      <c r="B90" s="118"/>
      <c r="C90" s="118"/>
      <c r="D90" s="118"/>
      <c r="R90" s="220">
        <v>7</v>
      </c>
      <c r="S90" s="220">
        <v>24</v>
      </c>
      <c r="T90" s="220">
        <v>15</v>
      </c>
      <c r="U90" s="220">
        <f t="shared" si="20"/>
        <v>33.333333333333336</v>
      </c>
      <c r="V90" s="237">
        <f t="shared" si="28"/>
        <v>35635.624999999789</v>
      </c>
      <c r="W90" s="234">
        <v>92</v>
      </c>
      <c r="X90" s="234">
        <f t="shared" si="21"/>
        <v>33.333333333333336</v>
      </c>
      <c r="Y90" s="234">
        <v>56</v>
      </c>
      <c r="Z90" s="238">
        <f t="shared" si="22"/>
        <v>79.297228211327933</v>
      </c>
      <c r="AA90" s="238">
        <f t="shared" si="23"/>
        <v>26.276237895182206</v>
      </c>
      <c r="AB90" s="239">
        <f t="shared" si="24"/>
        <v>82.47292115849595</v>
      </c>
      <c r="AC90" s="239">
        <f t="shared" si="25"/>
        <v>28.040511754719997</v>
      </c>
      <c r="AD90" s="239">
        <f t="shared" si="29"/>
        <v>92</v>
      </c>
      <c r="AE90" s="239" t="b">
        <f t="shared" si="30"/>
        <v>0</v>
      </c>
      <c r="AF90" s="239">
        <f t="shared" si="38"/>
        <v>92</v>
      </c>
      <c r="AG90" s="239">
        <f t="shared" si="26"/>
        <v>33.333333333333336</v>
      </c>
      <c r="AH90" s="239">
        <f t="shared" si="27"/>
        <v>100</v>
      </c>
      <c r="AI90" s="238">
        <f t="shared" si="31"/>
        <v>65.106286654642005</v>
      </c>
      <c r="AJ90" s="238">
        <f t="shared" si="32"/>
        <v>56</v>
      </c>
      <c r="AK90" s="238">
        <f t="shared" si="33"/>
        <v>56</v>
      </c>
      <c r="AL90" s="238"/>
      <c r="AM90" s="240">
        <f t="shared" si="34"/>
        <v>3.2843577760596203E-2</v>
      </c>
      <c r="AN90" s="238">
        <f t="shared" si="35"/>
        <v>34.087286978044709</v>
      </c>
      <c r="AO90" s="240">
        <f t="shared" si="36"/>
        <v>5.0446092763385228E-2</v>
      </c>
      <c r="AP90" s="238">
        <f t="shared" si="37"/>
        <v>51.101891969309236</v>
      </c>
    </row>
    <row r="91" spans="1:42" ht="22.2" x14ac:dyDescent="0.7">
      <c r="A91" s="118"/>
      <c r="B91" s="118"/>
      <c r="C91" s="118"/>
      <c r="D91" s="118"/>
      <c r="R91" s="220">
        <v>7</v>
      </c>
      <c r="S91" s="220">
        <v>24</v>
      </c>
      <c r="T91" s="220">
        <v>16</v>
      </c>
      <c r="U91" s="220">
        <f t="shared" si="20"/>
        <v>33.888888888888886</v>
      </c>
      <c r="V91" s="237">
        <f t="shared" si="28"/>
        <v>35635.666666666453</v>
      </c>
      <c r="W91" s="234">
        <v>93</v>
      </c>
      <c r="X91" s="234">
        <f t="shared" si="21"/>
        <v>33.888888888888886</v>
      </c>
      <c r="Y91" s="234">
        <v>54</v>
      </c>
      <c r="Z91" s="238">
        <f t="shared" si="22"/>
        <v>79.515958963418925</v>
      </c>
      <c r="AA91" s="238">
        <f t="shared" si="23"/>
        <v>26.397754979677202</v>
      </c>
      <c r="AB91" s="239">
        <f t="shared" si="24"/>
        <v>82.88696922256419</v>
      </c>
      <c r="AC91" s="239">
        <f t="shared" si="25"/>
        <v>28.27053845698013</v>
      </c>
      <c r="AD91" s="239">
        <f t="shared" si="29"/>
        <v>93</v>
      </c>
      <c r="AE91" s="239" t="b">
        <f t="shared" si="30"/>
        <v>0</v>
      </c>
      <c r="AF91" s="239">
        <f t="shared" si="38"/>
        <v>93</v>
      </c>
      <c r="AG91" s="239">
        <f t="shared" si="26"/>
        <v>33.888888888888886</v>
      </c>
      <c r="AH91" s="239">
        <f t="shared" si="27"/>
        <v>100</v>
      </c>
      <c r="AI91" s="238">
        <f t="shared" si="31"/>
        <v>63.488059027097151</v>
      </c>
      <c r="AJ91" s="238">
        <f t="shared" si="32"/>
        <v>54</v>
      </c>
      <c r="AK91" s="238">
        <f t="shared" si="33"/>
        <v>54</v>
      </c>
      <c r="AL91" s="238"/>
      <c r="AM91" s="240">
        <f t="shared" si="34"/>
        <v>3.3035019660947511E-2</v>
      </c>
      <c r="AN91" s="238">
        <f t="shared" si="35"/>
        <v>34.332058561636593</v>
      </c>
      <c r="AO91" s="240">
        <f t="shared" si="36"/>
        <v>5.2033437731728312E-2</v>
      </c>
      <c r="AP91" s="238">
        <f t="shared" si="37"/>
        <v>52.709872422240778</v>
      </c>
    </row>
    <row r="92" spans="1:42" ht="22.2" x14ac:dyDescent="0.7">
      <c r="A92" s="118"/>
      <c r="B92" s="118"/>
      <c r="C92" s="118"/>
      <c r="D92" s="118"/>
      <c r="R92" s="220">
        <v>7</v>
      </c>
      <c r="S92" s="220">
        <v>24</v>
      </c>
      <c r="T92" s="220">
        <v>17</v>
      </c>
      <c r="U92" s="220">
        <f t="shared" si="20"/>
        <v>33.333333333333336</v>
      </c>
      <c r="V92" s="237">
        <f t="shared" si="28"/>
        <v>35635.708333333117</v>
      </c>
      <c r="W92" s="234">
        <v>92</v>
      </c>
      <c r="X92" s="234">
        <f t="shared" si="21"/>
        <v>33.333333333333336</v>
      </c>
      <c r="Y92" s="234">
        <v>58</v>
      </c>
      <c r="Z92" s="238">
        <f t="shared" si="22"/>
        <v>79.944776836142822</v>
      </c>
      <c r="AA92" s="238">
        <f t="shared" si="23"/>
        <v>26.635987131190479</v>
      </c>
      <c r="AB92" s="239">
        <f t="shared" si="24"/>
        <v>82.95858262710712</v>
      </c>
      <c r="AC92" s="239">
        <f t="shared" si="25"/>
        <v>28.310323681726203</v>
      </c>
      <c r="AD92" s="239">
        <f t="shared" si="29"/>
        <v>92</v>
      </c>
      <c r="AE92" s="239" t="b">
        <f t="shared" si="30"/>
        <v>0</v>
      </c>
      <c r="AF92" s="239">
        <f t="shared" si="38"/>
        <v>92</v>
      </c>
      <c r="AG92" s="239">
        <f t="shared" si="26"/>
        <v>33.333333333333336</v>
      </c>
      <c r="AH92" s="239">
        <f t="shared" si="27"/>
        <v>100</v>
      </c>
      <c r="AI92" s="238">
        <f t="shared" si="31"/>
        <v>66.610282081745822</v>
      </c>
      <c r="AJ92" s="238">
        <f t="shared" si="32"/>
        <v>58</v>
      </c>
      <c r="AK92" s="238">
        <f t="shared" si="33"/>
        <v>58</v>
      </c>
      <c r="AL92" s="238"/>
      <c r="AM92" s="240">
        <f t="shared" si="34"/>
        <v>3.3602284688910064E-2</v>
      </c>
      <c r="AN92" s="238">
        <f t="shared" si="35"/>
        <v>34.816376733630449</v>
      </c>
      <c r="AO92" s="240">
        <f t="shared" si="36"/>
        <v>5.0446092763385228E-2</v>
      </c>
      <c r="AP92" s="238">
        <f t="shared" si="37"/>
        <v>51.101891969309236</v>
      </c>
    </row>
    <row r="93" spans="1:42" ht="22.2" x14ac:dyDescent="0.7">
      <c r="A93" s="118"/>
      <c r="B93" s="118"/>
      <c r="C93" s="118"/>
      <c r="D93" s="118"/>
      <c r="R93" s="220">
        <v>7</v>
      </c>
      <c r="S93" s="220">
        <v>24</v>
      </c>
      <c r="T93" s="220">
        <v>18</v>
      </c>
      <c r="U93" s="220">
        <f t="shared" si="20"/>
        <v>32.222222222222221</v>
      </c>
      <c r="V93" s="237">
        <f t="shared" si="28"/>
        <v>35635.749999999782</v>
      </c>
      <c r="W93" s="234">
        <v>90</v>
      </c>
      <c r="X93" s="234">
        <f t="shared" si="21"/>
        <v>32.222222222222221</v>
      </c>
      <c r="Y93" s="234">
        <v>59</v>
      </c>
      <c r="Z93" s="238">
        <f t="shared" si="22"/>
        <v>78.475192393075147</v>
      </c>
      <c r="AA93" s="238">
        <f t="shared" si="23"/>
        <v>25.819551329486213</v>
      </c>
      <c r="AB93" s="239">
        <f t="shared" si="24"/>
        <v>81.356394294806364</v>
      </c>
      <c r="AC93" s="239">
        <f t="shared" si="25"/>
        <v>27.420219052670227</v>
      </c>
      <c r="AD93" s="239">
        <f t="shared" si="29"/>
        <v>90</v>
      </c>
      <c r="AE93" s="239" t="b">
        <f t="shared" si="30"/>
        <v>0</v>
      </c>
      <c r="AF93" s="239">
        <f t="shared" si="38"/>
        <v>90</v>
      </c>
      <c r="AG93" s="239">
        <f t="shared" si="26"/>
        <v>32.222222222222221</v>
      </c>
      <c r="AH93" s="239">
        <f t="shared" si="27"/>
        <v>100</v>
      </c>
      <c r="AI93" s="238">
        <f t="shared" si="31"/>
        <v>67.569188237528323</v>
      </c>
      <c r="AJ93" s="238">
        <f t="shared" si="32"/>
        <v>59</v>
      </c>
      <c r="AK93" s="238">
        <f t="shared" si="33"/>
        <v>59</v>
      </c>
      <c r="AL93" s="238"/>
      <c r="AM93" s="240">
        <f t="shared" si="34"/>
        <v>3.202580874196985E-2</v>
      </c>
      <c r="AN93" s="238">
        <f t="shared" si="35"/>
        <v>33.180927843478791</v>
      </c>
      <c r="AO93" s="240">
        <f t="shared" si="36"/>
        <v>4.7397060076241275E-2</v>
      </c>
      <c r="AP93" s="238">
        <f t="shared" si="37"/>
        <v>48.013221857232409</v>
      </c>
    </row>
    <row r="94" spans="1:42" ht="22.2" x14ac:dyDescent="0.7">
      <c r="A94" s="118"/>
      <c r="B94" s="118"/>
      <c r="C94" s="118"/>
      <c r="D94" s="118"/>
      <c r="R94" s="220">
        <v>7</v>
      </c>
      <c r="S94" s="220">
        <v>24</v>
      </c>
      <c r="T94" s="220">
        <v>19</v>
      </c>
      <c r="U94" s="220">
        <f t="shared" si="20"/>
        <v>30</v>
      </c>
      <c r="V94" s="237">
        <f t="shared" si="28"/>
        <v>35635.791666666446</v>
      </c>
      <c r="W94" s="234">
        <v>86</v>
      </c>
      <c r="X94" s="234">
        <f t="shared" si="21"/>
        <v>30</v>
      </c>
      <c r="Y94" s="234">
        <v>70</v>
      </c>
      <c r="Z94" s="238">
        <f t="shared" si="22"/>
        <v>78.072192254015718</v>
      </c>
      <c r="AA94" s="238">
        <f t="shared" si="23"/>
        <v>25.595662363342086</v>
      </c>
      <c r="AB94" s="239">
        <f t="shared" si="24"/>
        <v>80.054144190511792</v>
      </c>
      <c r="AC94" s="239">
        <f t="shared" si="25"/>
        <v>26.696746772506575</v>
      </c>
      <c r="AD94" s="239">
        <f t="shared" si="29"/>
        <v>86</v>
      </c>
      <c r="AE94" s="239" t="b">
        <f t="shared" si="30"/>
        <v>0</v>
      </c>
      <c r="AF94" s="239">
        <f t="shared" si="38"/>
        <v>86</v>
      </c>
      <c r="AG94" s="239">
        <f t="shared" si="26"/>
        <v>30</v>
      </c>
      <c r="AH94" s="239">
        <f t="shared" si="27"/>
        <v>100</v>
      </c>
      <c r="AI94" s="238">
        <f t="shared" si="31"/>
        <v>76.175174487881009</v>
      </c>
      <c r="AJ94" s="238">
        <f t="shared" si="32"/>
        <v>70</v>
      </c>
      <c r="AK94" s="238">
        <f t="shared" si="33"/>
        <v>70</v>
      </c>
      <c r="AL94" s="238"/>
      <c r="AM94" s="240">
        <f t="shared" si="34"/>
        <v>3.1822794321067487E-2</v>
      </c>
      <c r="AN94" s="238">
        <f t="shared" si="35"/>
        <v>32.744313837696332</v>
      </c>
      <c r="AO94" s="240">
        <f t="shared" si="36"/>
        <v>4.177580758430726E-2</v>
      </c>
      <c r="AP94" s="238">
        <f t="shared" si="37"/>
        <v>42.318893082903251</v>
      </c>
    </row>
    <row r="95" spans="1:42" ht="22.2" x14ac:dyDescent="0.7">
      <c r="A95" s="118"/>
      <c r="B95" s="118"/>
      <c r="C95" s="118"/>
      <c r="D95" s="118"/>
      <c r="R95" s="220">
        <v>7</v>
      </c>
      <c r="S95" s="220">
        <v>24</v>
      </c>
      <c r="T95" s="220">
        <v>20</v>
      </c>
      <c r="U95" s="220">
        <f t="shared" si="20"/>
        <v>28.333333333333332</v>
      </c>
      <c r="V95" s="237">
        <f t="shared" si="28"/>
        <v>35635.83333333311</v>
      </c>
      <c r="W95" s="234">
        <v>83</v>
      </c>
      <c r="X95" s="234">
        <f t="shared" si="21"/>
        <v>28.333333333333332</v>
      </c>
      <c r="Y95" s="234">
        <v>77</v>
      </c>
      <c r="Z95" s="238">
        <f t="shared" si="22"/>
        <v>77.159244496718884</v>
      </c>
      <c r="AA95" s="238">
        <f t="shared" si="23"/>
        <v>25.088469164843847</v>
      </c>
      <c r="AB95" s="239">
        <f t="shared" si="24"/>
        <v>78.619433372539163</v>
      </c>
      <c r="AC95" s="239">
        <f t="shared" si="25"/>
        <v>25.899685206966222</v>
      </c>
      <c r="AD95" s="239">
        <f t="shared" si="29"/>
        <v>83</v>
      </c>
      <c r="AE95" s="239" t="b">
        <f t="shared" si="30"/>
        <v>0</v>
      </c>
      <c r="AF95" s="239">
        <f t="shared" si="38"/>
        <v>83</v>
      </c>
      <c r="AG95" s="239">
        <f t="shared" si="26"/>
        <v>28.333333333333332</v>
      </c>
      <c r="AH95" s="239">
        <f t="shared" si="27"/>
        <v>100</v>
      </c>
      <c r="AI95" s="238">
        <f t="shared" si="31"/>
        <v>81.68193147199861</v>
      </c>
      <c r="AJ95" s="238">
        <f t="shared" si="32"/>
        <v>77</v>
      </c>
      <c r="AK95" s="238">
        <f t="shared" si="33"/>
        <v>77</v>
      </c>
      <c r="AL95" s="238"/>
      <c r="AM95" s="240">
        <f t="shared" si="34"/>
        <v>3.0997726867666636E-2</v>
      </c>
      <c r="AN95" s="238">
        <f t="shared" si="35"/>
        <v>31.773697152506521</v>
      </c>
      <c r="AO95" s="240">
        <f t="shared" si="36"/>
        <v>3.7949306914091485E-2</v>
      </c>
      <c r="AP95" s="238">
        <f t="shared" si="37"/>
        <v>38.442647903974674</v>
      </c>
    </row>
    <row r="96" spans="1:42" ht="22.2" x14ac:dyDescent="0.7">
      <c r="A96" s="118"/>
      <c r="B96" s="118"/>
      <c r="C96" s="118"/>
      <c r="D96" s="118"/>
      <c r="R96" s="220">
        <v>7</v>
      </c>
      <c r="S96" s="220">
        <v>24</v>
      </c>
      <c r="T96" s="220">
        <v>21</v>
      </c>
      <c r="U96" s="220">
        <f t="shared" si="20"/>
        <v>27.777777777777779</v>
      </c>
      <c r="V96" s="237">
        <f t="shared" si="28"/>
        <v>35635.874999999774</v>
      </c>
      <c r="W96" s="234">
        <v>82</v>
      </c>
      <c r="X96" s="234">
        <f t="shared" si="21"/>
        <v>27.777777777777779</v>
      </c>
      <c r="Y96" s="234">
        <v>77</v>
      </c>
      <c r="Z96" s="238">
        <f t="shared" si="22"/>
        <v>76.207345256455596</v>
      </c>
      <c r="AA96" s="238">
        <f t="shared" si="23"/>
        <v>24.559636253586461</v>
      </c>
      <c r="AB96" s="239">
        <f t="shared" si="24"/>
        <v>77.655508942341697</v>
      </c>
      <c r="AC96" s="239">
        <f t="shared" si="25"/>
        <v>25.364171634634296</v>
      </c>
      <c r="AD96" s="239">
        <f t="shared" si="29"/>
        <v>82</v>
      </c>
      <c r="AE96" s="239" t="b">
        <f t="shared" si="30"/>
        <v>0</v>
      </c>
      <c r="AF96" s="239">
        <f t="shared" si="38"/>
        <v>82</v>
      </c>
      <c r="AG96" s="239">
        <f t="shared" si="26"/>
        <v>27.777777777777779</v>
      </c>
      <c r="AH96" s="239">
        <f t="shared" si="27"/>
        <v>100</v>
      </c>
      <c r="AI96" s="238">
        <f t="shared" si="31"/>
        <v>81.727364050381766</v>
      </c>
      <c r="AJ96" s="238">
        <f t="shared" si="32"/>
        <v>77</v>
      </c>
      <c r="AK96" s="238">
        <f t="shared" si="33"/>
        <v>77</v>
      </c>
      <c r="AL96" s="238"/>
      <c r="AM96" s="240">
        <f t="shared" si="34"/>
        <v>3.0029488022190593E-2</v>
      </c>
      <c r="AN96" s="238">
        <f t="shared" si="35"/>
        <v>30.788478127436079</v>
      </c>
      <c r="AO96" s="240">
        <f t="shared" si="36"/>
        <v>3.6743492673614889E-2</v>
      </c>
      <c r="AP96" s="238">
        <f t="shared" si="37"/>
        <v>37.221158078371879</v>
      </c>
    </row>
    <row r="97" spans="1:42" ht="22.2" x14ac:dyDescent="0.7">
      <c r="A97" s="118"/>
      <c r="B97" s="118"/>
      <c r="C97" s="118"/>
      <c r="D97" s="118"/>
      <c r="R97" s="220">
        <v>7</v>
      </c>
      <c r="S97" s="220">
        <v>24</v>
      </c>
      <c r="T97" s="220">
        <v>22</v>
      </c>
      <c r="U97" s="220">
        <f t="shared" si="20"/>
        <v>26.666666666666668</v>
      </c>
      <c r="V97" s="237">
        <f t="shared" si="28"/>
        <v>35635.916666666439</v>
      </c>
      <c r="W97" s="234">
        <v>80</v>
      </c>
      <c r="X97" s="234">
        <f t="shared" si="21"/>
        <v>26.666666666666668</v>
      </c>
      <c r="Y97" s="234">
        <v>82</v>
      </c>
      <c r="Z97" s="238">
        <f t="shared" si="22"/>
        <v>75.583432645417005</v>
      </c>
      <c r="AA97" s="238">
        <f t="shared" si="23"/>
        <v>24.2130181363428</v>
      </c>
      <c r="AB97" s="239">
        <f t="shared" si="24"/>
        <v>76.68757448406275</v>
      </c>
      <c r="AC97" s="239">
        <f t="shared" si="25"/>
        <v>24.826430268923772</v>
      </c>
      <c r="AD97" s="239">
        <f t="shared" si="29"/>
        <v>80</v>
      </c>
      <c r="AE97" s="239" t="b">
        <f t="shared" si="30"/>
        <v>0</v>
      </c>
      <c r="AF97" s="239">
        <f t="shared" si="38"/>
        <v>80</v>
      </c>
      <c r="AG97" s="239">
        <f t="shared" si="26"/>
        <v>26.666666666666668</v>
      </c>
      <c r="AH97" s="239">
        <f t="shared" si="27"/>
        <v>100</v>
      </c>
      <c r="AI97" s="238">
        <f t="shared" si="31"/>
        <v>85.657967185188852</v>
      </c>
      <c r="AJ97" s="238">
        <f t="shared" si="32"/>
        <v>82</v>
      </c>
      <c r="AK97" s="238">
        <f t="shared" si="33"/>
        <v>82</v>
      </c>
      <c r="AL97" s="238"/>
      <c r="AM97" s="240">
        <f t="shared" si="34"/>
        <v>2.9493380709308178E-2</v>
      </c>
      <c r="AN97" s="238">
        <f t="shared" si="35"/>
        <v>30.157278402004941</v>
      </c>
      <c r="AO97" s="240">
        <f t="shared" si="36"/>
        <v>3.4431567405218425E-2</v>
      </c>
      <c r="AP97" s="238">
        <f t="shared" si="37"/>
        <v>34.879177781486263</v>
      </c>
    </row>
    <row r="98" spans="1:42" ht="22.2" x14ac:dyDescent="0.7">
      <c r="A98" s="118"/>
      <c r="B98" s="118"/>
      <c r="C98" s="118"/>
      <c r="D98" s="118"/>
      <c r="R98" s="220">
        <v>7</v>
      </c>
      <c r="S98" s="220">
        <v>24</v>
      </c>
      <c r="T98" s="220">
        <v>23</v>
      </c>
      <c r="U98" s="220">
        <f t="shared" si="20"/>
        <v>26.111111111111111</v>
      </c>
      <c r="V98" s="237">
        <f t="shared" si="28"/>
        <v>35635.958333333103</v>
      </c>
      <c r="W98" s="234">
        <v>79</v>
      </c>
      <c r="X98" s="234">
        <f t="shared" si="21"/>
        <v>26.111111111111111</v>
      </c>
      <c r="Y98" s="234">
        <v>88</v>
      </c>
      <c r="Z98" s="238">
        <f t="shared" si="22"/>
        <v>76.122117280059086</v>
      </c>
      <c r="AA98" s="238">
        <f t="shared" si="23"/>
        <v>24.512287377810623</v>
      </c>
      <c r="AB98" s="239">
        <f t="shared" si="24"/>
        <v>76.841587960044308</v>
      </c>
      <c r="AC98" s="239">
        <f t="shared" si="25"/>
        <v>24.911993311135749</v>
      </c>
      <c r="AD98" s="239">
        <f t="shared" si="29"/>
        <v>79</v>
      </c>
      <c r="AE98" s="239" t="b">
        <f t="shared" si="30"/>
        <v>0</v>
      </c>
      <c r="AF98" s="239">
        <f t="shared" si="38"/>
        <v>79</v>
      </c>
      <c r="AG98" s="239">
        <f t="shared" si="26"/>
        <v>26.111111111111111</v>
      </c>
      <c r="AH98" s="239">
        <f t="shared" si="27"/>
        <v>100</v>
      </c>
      <c r="AI98" s="238">
        <f t="shared" si="31"/>
        <v>90.405798801320415</v>
      </c>
      <c r="AJ98" s="238">
        <f t="shared" si="32"/>
        <v>88</v>
      </c>
      <c r="AK98" s="238">
        <f t="shared" si="33"/>
        <v>88</v>
      </c>
      <c r="AL98" s="238"/>
      <c r="AM98" s="240">
        <f t="shared" si="34"/>
        <v>3.0126737691233873E-2</v>
      </c>
      <c r="AN98" s="238">
        <f t="shared" si="35"/>
        <v>30.701580896547647</v>
      </c>
      <c r="AO98" s="240">
        <f t="shared" si="36"/>
        <v>3.3323899673119044E-2</v>
      </c>
      <c r="AP98" s="238">
        <f t="shared" si="37"/>
        <v>33.75711036886959</v>
      </c>
    </row>
    <row r="99" spans="1:42" ht="22.2" x14ac:dyDescent="0.7">
      <c r="A99" s="118"/>
      <c r="B99" s="118"/>
      <c r="C99" s="118"/>
      <c r="D99" s="118"/>
      <c r="R99" s="220">
        <v>7</v>
      </c>
      <c r="S99" s="220">
        <v>24</v>
      </c>
      <c r="T99" s="220">
        <v>24</v>
      </c>
      <c r="U99" s="220">
        <f t="shared" si="20"/>
        <v>25.555555555555557</v>
      </c>
      <c r="V99" s="237">
        <f t="shared" si="28"/>
        <v>35635.999999999767</v>
      </c>
      <c r="W99" s="234">
        <v>78</v>
      </c>
      <c r="X99" s="234">
        <f t="shared" si="21"/>
        <v>25.555555555555557</v>
      </c>
      <c r="Y99" s="234">
        <v>88</v>
      </c>
      <c r="Z99" s="238">
        <f t="shared" si="22"/>
        <v>75.141873612907077</v>
      </c>
      <c r="AA99" s="238">
        <f t="shared" si="23"/>
        <v>23.967707562726172</v>
      </c>
      <c r="AB99" s="239">
        <f t="shared" si="24"/>
        <v>75.856405209680304</v>
      </c>
      <c r="AC99" s="239">
        <f t="shared" si="25"/>
        <v>24.364669560933521</v>
      </c>
      <c r="AD99" s="239">
        <f t="shared" si="29"/>
        <v>78</v>
      </c>
      <c r="AE99" s="239" t="b">
        <f t="shared" si="30"/>
        <v>0</v>
      </c>
      <c r="AF99" s="239">
        <f t="shared" si="38"/>
        <v>78</v>
      </c>
      <c r="AG99" s="239">
        <f t="shared" si="26"/>
        <v>25.555555555555557</v>
      </c>
      <c r="AH99" s="239">
        <f t="shared" si="27"/>
        <v>100</v>
      </c>
      <c r="AI99" s="238">
        <f t="shared" si="31"/>
        <v>90.41681314291047</v>
      </c>
      <c r="AJ99" s="238">
        <f t="shared" si="32"/>
        <v>88</v>
      </c>
      <c r="AK99" s="238">
        <f t="shared" si="33"/>
        <v>88</v>
      </c>
      <c r="AL99" s="238"/>
      <c r="AM99" s="240">
        <f t="shared" si="34"/>
        <v>2.9157084910886574E-2</v>
      </c>
      <c r="AN99" s="238">
        <f t="shared" si="35"/>
        <v>29.717412132576531</v>
      </c>
      <c r="AO99" s="240">
        <f t="shared" si="36"/>
        <v>3.2247414941291554E-2</v>
      </c>
      <c r="AP99" s="238">
        <f t="shared" si="37"/>
        <v>32.666631335528344</v>
      </c>
    </row>
    <row r="100" spans="1:42" ht="22.2" x14ac:dyDescent="0.7">
      <c r="A100" s="118"/>
      <c r="B100" s="118"/>
      <c r="C100" s="118"/>
      <c r="D100" s="118"/>
      <c r="R100" s="220">
        <v>7</v>
      </c>
      <c r="S100" s="220">
        <v>25</v>
      </c>
      <c r="T100" s="220">
        <v>1</v>
      </c>
      <c r="U100" s="220">
        <f t="shared" si="20"/>
        <v>25.555555555555557</v>
      </c>
      <c r="V100" s="237">
        <f t="shared" si="28"/>
        <v>35636.041666666431</v>
      </c>
      <c r="W100" s="234">
        <v>78</v>
      </c>
      <c r="X100" s="234">
        <f t="shared" si="21"/>
        <v>25.555555555555557</v>
      </c>
      <c r="Y100" s="234">
        <v>88</v>
      </c>
      <c r="Z100" s="238">
        <f t="shared" si="22"/>
        <v>75.141873612907077</v>
      </c>
      <c r="AA100" s="238">
        <f t="shared" si="23"/>
        <v>23.967707562726172</v>
      </c>
      <c r="AB100" s="239">
        <f t="shared" si="24"/>
        <v>75.856405209680304</v>
      </c>
      <c r="AC100" s="239">
        <f t="shared" si="25"/>
        <v>24.364669560933521</v>
      </c>
      <c r="AD100" s="239">
        <f t="shared" si="29"/>
        <v>78</v>
      </c>
      <c r="AE100" s="239" t="b">
        <f t="shared" si="30"/>
        <v>0</v>
      </c>
      <c r="AF100" s="239">
        <f t="shared" si="38"/>
        <v>78</v>
      </c>
      <c r="AG100" s="239">
        <f t="shared" si="26"/>
        <v>25.555555555555557</v>
      </c>
      <c r="AH100" s="239">
        <f t="shared" si="27"/>
        <v>100</v>
      </c>
      <c r="AI100" s="238">
        <f t="shared" si="31"/>
        <v>90.41681314291047</v>
      </c>
      <c r="AJ100" s="238">
        <f t="shared" si="32"/>
        <v>88</v>
      </c>
      <c r="AK100" s="238">
        <f t="shared" si="33"/>
        <v>88</v>
      </c>
      <c r="AL100" s="238"/>
      <c r="AM100" s="240">
        <f t="shared" si="34"/>
        <v>2.9157084910886574E-2</v>
      </c>
      <c r="AN100" s="238">
        <f t="shared" si="35"/>
        <v>29.717412132576531</v>
      </c>
      <c r="AO100" s="240">
        <f t="shared" si="36"/>
        <v>3.2247414941291554E-2</v>
      </c>
      <c r="AP100" s="238">
        <f t="shared" si="37"/>
        <v>32.666631335528344</v>
      </c>
    </row>
    <row r="101" spans="1:42" ht="22.2" x14ac:dyDescent="0.7">
      <c r="A101" s="118"/>
      <c r="B101" s="118"/>
      <c r="C101" s="118"/>
      <c r="D101" s="118"/>
      <c r="R101" s="220">
        <v>7</v>
      </c>
      <c r="S101" s="220">
        <v>25</v>
      </c>
      <c r="T101" s="220">
        <v>2</v>
      </c>
      <c r="U101" s="220">
        <f t="shared" si="20"/>
        <v>24.444444444444443</v>
      </c>
      <c r="V101" s="237">
        <f t="shared" si="28"/>
        <v>35636.083333333096</v>
      </c>
      <c r="W101" s="234">
        <v>76</v>
      </c>
      <c r="X101" s="234">
        <f t="shared" si="21"/>
        <v>24.444444444444443</v>
      </c>
      <c r="Y101" s="234">
        <v>94</v>
      </c>
      <c r="Z101" s="238">
        <f t="shared" si="22"/>
        <v>74.63104710423832</v>
      </c>
      <c r="AA101" s="238">
        <f t="shared" si="23"/>
        <v>23.683915057910198</v>
      </c>
      <c r="AB101" s="239">
        <f t="shared" si="24"/>
        <v>74.973285328178747</v>
      </c>
      <c r="AC101" s="239">
        <f t="shared" si="25"/>
        <v>23.87404740454377</v>
      </c>
      <c r="AD101" s="239">
        <f t="shared" si="29"/>
        <v>76</v>
      </c>
      <c r="AE101" s="239" t="b">
        <f t="shared" si="30"/>
        <v>0</v>
      </c>
      <c r="AF101" s="239">
        <f t="shared" si="38"/>
        <v>76</v>
      </c>
      <c r="AG101" s="239">
        <f t="shared" si="26"/>
        <v>24.444444444444443</v>
      </c>
      <c r="AH101" s="239">
        <f t="shared" si="27"/>
        <v>100</v>
      </c>
      <c r="AI101" s="238">
        <f t="shared" si="31"/>
        <v>95.262494797251676</v>
      </c>
      <c r="AJ101" s="238">
        <f t="shared" si="32"/>
        <v>94</v>
      </c>
      <c r="AK101" s="238">
        <f t="shared" si="33"/>
        <v>94</v>
      </c>
      <c r="AL101" s="238"/>
      <c r="AM101" s="240">
        <f t="shared" si="34"/>
        <v>2.8755021420490322E-2</v>
      </c>
      <c r="AN101" s="238">
        <f t="shared" si="35"/>
        <v>29.215536920524222</v>
      </c>
      <c r="AO101" s="240">
        <f t="shared" si="36"/>
        <v>3.0185039224187846E-2</v>
      </c>
      <c r="AP101" s="238">
        <f t="shared" si="37"/>
        <v>30.577444734102286</v>
      </c>
    </row>
    <row r="102" spans="1:42" ht="22.2" x14ac:dyDescent="0.7">
      <c r="A102" s="118"/>
      <c r="B102" s="118"/>
      <c r="C102" s="118"/>
      <c r="D102" s="118"/>
      <c r="R102" s="220">
        <v>7</v>
      </c>
      <c r="S102" s="220">
        <v>25</v>
      </c>
      <c r="T102" s="220">
        <v>3</v>
      </c>
      <c r="U102" s="220">
        <f t="shared" si="20"/>
        <v>23.333333333333332</v>
      </c>
      <c r="V102" s="237">
        <f t="shared" si="28"/>
        <v>35636.12499999976</v>
      </c>
      <c r="W102" s="234">
        <v>74</v>
      </c>
      <c r="X102" s="234">
        <f t="shared" si="21"/>
        <v>23.333333333333332</v>
      </c>
      <c r="Y102" s="234">
        <v>97</v>
      </c>
      <c r="Z102" s="238">
        <f t="shared" si="22"/>
        <v>73.352088577681357</v>
      </c>
      <c r="AA102" s="238">
        <f t="shared" si="23"/>
        <v>22.97338254315633</v>
      </c>
      <c r="AB102" s="239">
        <f t="shared" si="24"/>
        <v>73.514066433261021</v>
      </c>
      <c r="AC102" s="239">
        <f t="shared" si="25"/>
        <v>23.063370240700586</v>
      </c>
      <c r="AD102" s="239">
        <f t="shared" si="29"/>
        <v>74</v>
      </c>
      <c r="AE102" s="239" t="b">
        <f t="shared" si="30"/>
        <v>0</v>
      </c>
      <c r="AF102" s="239">
        <f t="shared" si="38"/>
        <v>74</v>
      </c>
      <c r="AG102" s="239">
        <f t="shared" si="26"/>
        <v>23.333333333333332</v>
      </c>
      <c r="AH102" s="239">
        <f t="shared" si="27"/>
        <v>100</v>
      </c>
      <c r="AI102" s="238">
        <f t="shared" si="31"/>
        <v>97.709096077296991</v>
      </c>
      <c r="AJ102" s="238">
        <f t="shared" si="32"/>
        <v>97</v>
      </c>
      <c r="AK102" s="238">
        <f t="shared" si="33"/>
        <v>97</v>
      </c>
      <c r="AL102" s="238"/>
      <c r="AM102" s="240">
        <f t="shared" si="34"/>
        <v>2.7591748562230952E-2</v>
      </c>
      <c r="AN102" s="238">
        <f t="shared" si="35"/>
        <v>27.991298067603662</v>
      </c>
      <c r="AO102" s="240">
        <f t="shared" si="36"/>
        <v>2.8238669345997541E-2</v>
      </c>
      <c r="AP102" s="238">
        <f t="shared" si="37"/>
        <v>28.60577204749551</v>
      </c>
    </row>
    <row r="103" spans="1:42" ht="22.2" x14ac:dyDescent="0.7">
      <c r="A103" s="118"/>
      <c r="B103" s="118"/>
      <c r="C103" s="118"/>
      <c r="D103" s="118"/>
      <c r="R103" s="220">
        <v>7</v>
      </c>
      <c r="S103" s="220">
        <v>25</v>
      </c>
      <c r="T103" s="220">
        <v>4</v>
      </c>
      <c r="U103" s="220">
        <f t="shared" si="20"/>
        <v>23.333333333333332</v>
      </c>
      <c r="V103" s="237">
        <f t="shared" si="28"/>
        <v>35636.166666666424</v>
      </c>
      <c r="W103" s="234">
        <v>74</v>
      </c>
      <c r="X103" s="234">
        <f t="shared" si="21"/>
        <v>23.333333333333332</v>
      </c>
      <c r="Y103" s="234">
        <v>97</v>
      </c>
      <c r="Z103" s="238">
        <f t="shared" si="22"/>
        <v>73.352088577681357</v>
      </c>
      <c r="AA103" s="238">
        <f t="shared" si="23"/>
        <v>22.97338254315633</v>
      </c>
      <c r="AB103" s="239">
        <f t="shared" si="24"/>
        <v>73.514066433261021</v>
      </c>
      <c r="AC103" s="239">
        <f t="shared" si="25"/>
        <v>23.063370240700586</v>
      </c>
      <c r="AD103" s="239">
        <f t="shared" si="29"/>
        <v>74</v>
      </c>
      <c r="AE103" s="239" t="b">
        <f t="shared" si="30"/>
        <v>0</v>
      </c>
      <c r="AF103" s="239">
        <f t="shared" si="38"/>
        <v>74</v>
      </c>
      <c r="AG103" s="239">
        <f t="shared" si="26"/>
        <v>23.333333333333332</v>
      </c>
      <c r="AH103" s="239">
        <f t="shared" si="27"/>
        <v>100</v>
      </c>
      <c r="AI103" s="238">
        <f t="shared" si="31"/>
        <v>97.709096077296991</v>
      </c>
      <c r="AJ103" s="238">
        <f t="shared" si="32"/>
        <v>97</v>
      </c>
      <c r="AK103" s="238">
        <f t="shared" si="33"/>
        <v>97</v>
      </c>
      <c r="AL103" s="238"/>
      <c r="AM103" s="240">
        <f t="shared" si="34"/>
        <v>2.7591748562230952E-2</v>
      </c>
      <c r="AN103" s="238">
        <f t="shared" si="35"/>
        <v>27.991298067603662</v>
      </c>
      <c r="AO103" s="240">
        <f t="shared" si="36"/>
        <v>2.8238669345997541E-2</v>
      </c>
      <c r="AP103" s="238">
        <f t="shared" si="37"/>
        <v>28.60577204749551</v>
      </c>
    </row>
    <row r="104" spans="1:42" ht="22.2" x14ac:dyDescent="0.7">
      <c r="A104" s="118"/>
      <c r="B104" s="118"/>
      <c r="C104" s="118"/>
      <c r="D104" s="118"/>
      <c r="R104" s="220">
        <v>7</v>
      </c>
      <c r="S104" s="220">
        <v>25</v>
      </c>
      <c r="T104" s="220">
        <v>5</v>
      </c>
      <c r="U104" s="220">
        <f t="shared" si="20"/>
        <v>23.888888888888889</v>
      </c>
      <c r="V104" s="237">
        <f t="shared" si="28"/>
        <v>35636.208333333088</v>
      </c>
      <c r="W104" s="234">
        <v>75</v>
      </c>
      <c r="X104" s="234">
        <f t="shared" si="21"/>
        <v>23.888888888888889</v>
      </c>
      <c r="Y104" s="234">
        <v>94</v>
      </c>
      <c r="Z104" s="238">
        <f t="shared" si="22"/>
        <v>73.636914244919737</v>
      </c>
      <c r="AA104" s="238">
        <f t="shared" si="23"/>
        <v>23.13161902495543</v>
      </c>
      <c r="AB104" s="239">
        <f t="shared" si="24"/>
        <v>73.977685683689799</v>
      </c>
      <c r="AC104" s="239">
        <f t="shared" si="25"/>
        <v>23.320936490938799</v>
      </c>
      <c r="AD104" s="239">
        <f t="shared" si="29"/>
        <v>75</v>
      </c>
      <c r="AE104" s="239" t="b">
        <f t="shared" si="30"/>
        <v>0</v>
      </c>
      <c r="AF104" s="239">
        <f t="shared" si="38"/>
        <v>75</v>
      </c>
      <c r="AG104" s="239">
        <f t="shared" si="26"/>
        <v>23.888888888888889</v>
      </c>
      <c r="AH104" s="239">
        <f t="shared" si="27"/>
        <v>100</v>
      </c>
      <c r="AI104" s="238">
        <f t="shared" si="31"/>
        <v>95.25544034497922</v>
      </c>
      <c r="AJ104" s="238">
        <f t="shared" si="32"/>
        <v>94</v>
      </c>
      <c r="AK104" s="238">
        <f t="shared" si="33"/>
        <v>94</v>
      </c>
      <c r="AL104" s="238"/>
      <c r="AM104" s="240">
        <f t="shared" si="34"/>
        <v>2.7812403044239455E-2</v>
      </c>
      <c r="AN104" s="238">
        <f t="shared" si="35"/>
        <v>28.259990232327233</v>
      </c>
      <c r="AO104" s="240">
        <f t="shared" si="36"/>
        <v>2.9197705604544408E-2</v>
      </c>
      <c r="AP104" s="238">
        <f t="shared" si="37"/>
        <v>29.577275777403486</v>
      </c>
    </row>
    <row r="105" spans="1:42" ht="22.2" x14ac:dyDescent="0.7">
      <c r="A105" s="118"/>
      <c r="B105" s="118"/>
      <c r="C105" s="118"/>
      <c r="D105" s="118"/>
      <c r="R105" s="220">
        <v>7</v>
      </c>
      <c r="S105" s="220">
        <v>25</v>
      </c>
      <c r="T105" s="220">
        <v>6</v>
      </c>
      <c r="U105" s="220">
        <f t="shared" si="20"/>
        <v>23.888888888888889</v>
      </c>
      <c r="V105" s="237">
        <f t="shared" si="28"/>
        <v>35636.249999999753</v>
      </c>
      <c r="W105" s="234">
        <v>75</v>
      </c>
      <c r="X105" s="234">
        <f t="shared" si="21"/>
        <v>23.888888888888889</v>
      </c>
      <c r="Y105" s="234">
        <v>94</v>
      </c>
      <c r="Z105" s="238">
        <f t="shared" si="22"/>
        <v>73.636914244919737</v>
      </c>
      <c r="AA105" s="238">
        <f t="shared" si="23"/>
        <v>23.13161902495543</v>
      </c>
      <c r="AB105" s="239">
        <f t="shared" si="24"/>
        <v>73.977685683689799</v>
      </c>
      <c r="AC105" s="239">
        <f t="shared" si="25"/>
        <v>23.320936490938799</v>
      </c>
      <c r="AD105" s="239">
        <f t="shared" si="29"/>
        <v>75</v>
      </c>
      <c r="AE105" s="239" t="b">
        <f t="shared" si="30"/>
        <v>0</v>
      </c>
      <c r="AF105" s="239">
        <f t="shared" si="38"/>
        <v>75</v>
      </c>
      <c r="AG105" s="239">
        <f t="shared" si="26"/>
        <v>23.888888888888889</v>
      </c>
      <c r="AH105" s="239">
        <f t="shared" si="27"/>
        <v>100</v>
      </c>
      <c r="AI105" s="238">
        <f t="shared" si="31"/>
        <v>95.25544034497922</v>
      </c>
      <c r="AJ105" s="238">
        <f t="shared" si="32"/>
        <v>94</v>
      </c>
      <c r="AK105" s="238">
        <f t="shared" si="33"/>
        <v>94</v>
      </c>
      <c r="AL105" s="238"/>
      <c r="AM105" s="240">
        <f t="shared" si="34"/>
        <v>2.7812403044239455E-2</v>
      </c>
      <c r="AN105" s="238">
        <f t="shared" si="35"/>
        <v>28.259990232327233</v>
      </c>
      <c r="AO105" s="240">
        <f t="shared" si="36"/>
        <v>2.9197705604544408E-2</v>
      </c>
      <c r="AP105" s="238">
        <f t="shared" si="37"/>
        <v>29.577275777403486</v>
      </c>
    </row>
    <row r="106" spans="1:42" ht="22.2" x14ac:dyDescent="0.7">
      <c r="A106" s="118"/>
      <c r="B106" s="118"/>
      <c r="C106" s="118"/>
      <c r="D106" s="118"/>
      <c r="R106" s="220">
        <v>7</v>
      </c>
      <c r="S106" s="220">
        <v>25</v>
      </c>
      <c r="T106" s="220">
        <v>7</v>
      </c>
      <c r="U106" s="220">
        <f t="shared" si="20"/>
        <v>25.555555555555557</v>
      </c>
      <c r="V106" s="237">
        <f t="shared" si="28"/>
        <v>35636.291666666417</v>
      </c>
      <c r="W106" s="234">
        <v>78</v>
      </c>
      <c r="X106" s="234">
        <f t="shared" si="21"/>
        <v>25.555555555555557</v>
      </c>
      <c r="Y106" s="234">
        <v>91</v>
      </c>
      <c r="Z106" s="238">
        <f t="shared" si="22"/>
        <v>75.881775688564488</v>
      </c>
      <c r="AA106" s="238">
        <f t="shared" si="23"/>
        <v>24.378764271424735</v>
      </c>
      <c r="AB106" s="239">
        <f t="shared" si="24"/>
        <v>76.411331766423359</v>
      </c>
      <c r="AC106" s="239">
        <f t="shared" si="25"/>
        <v>24.672962092457443</v>
      </c>
      <c r="AD106" s="239">
        <f t="shared" si="29"/>
        <v>78</v>
      </c>
      <c r="AE106" s="239" t="b">
        <f t="shared" si="30"/>
        <v>0</v>
      </c>
      <c r="AF106" s="239">
        <f t="shared" si="38"/>
        <v>78</v>
      </c>
      <c r="AG106" s="239">
        <f t="shared" si="26"/>
        <v>25.555555555555557</v>
      </c>
      <c r="AH106" s="239">
        <f t="shared" si="27"/>
        <v>100</v>
      </c>
      <c r="AI106" s="238">
        <f t="shared" si="31"/>
        <v>92.825429994661562</v>
      </c>
      <c r="AJ106" s="238">
        <f t="shared" si="32"/>
        <v>91</v>
      </c>
      <c r="AK106" s="238">
        <f t="shared" si="33"/>
        <v>91</v>
      </c>
      <c r="AL106" s="238"/>
      <c r="AM106" s="240">
        <f t="shared" si="34"/>
        <v>2.9933801581416623E-2</v>
      </c>
      <c r="AN106" s="238">
        <f t="shared" si="35"/>
        <v>30.457683231086897</v>
      </c>
      <c r="AO106" s="240">
        <f t="shared" si="36"/>
        <v>3.2247414941291554E-2</v>
      </c>
      <c r="AP106" s="238">
        <f t="shared" si="37"/>
        <v>32.666631335528344</v>
      </c>
    </row>
    <row r="107" spans="1:42" ht="22.2" x14ac:dyDescent="0.7">
      <c r="A107" s="118"/>
      <c r="B107" s="118"/>
      <c r="C107" s="118"/>
      <c r="D107" s="118"/>
      <c r="R107" s="220">
        <v>7</v>
      </c>
      <c r="S107" s="220">
        <v>25</v>
      </c>
      <c r="T107" s="220">
        <v>8</v>
      </c>
      <c r="U107" s="220">
        <f t="shared" si="20"/>
        <v>27.777777777777779</v>
      </c>
      <c r="V107" s="237">
        <f t="shared" si="28"/>
        <v>35636.333333333081</v>
      </c>
      <c r="W107" s="234">
        <v>82</v>
      </c>
      <c r="X107" s="234">
        <f t="shared" si="21"/>
        <v>27.777777777777779</v>
      </c>
      <c r="Y107" s="234">
        <v>82</v>
      </c>
      <c r="Z107" s="238">
        <f t="shared" si="22"/>
        <v>77.514003918765923</v>
      </c>
      <c r="AA107" s="238">
        <f t="shared" si="23"/>
        <v>25.285557732647757</v>
      </c>
      <c r="AB107" s="239">
        <f t="shared" si="24"/>
        <v>78.635502939074442</v>
      </c>
      <c r="AC107" s="239">
        <f t="shared" si="25"/>
        <v>25.908612743930266</v>
      </c>
      <c r="AD107" s="239">
        <f t="shared" si="29"/>
        <v>82</v>
      </c>
      <c r="AE107" s="239" t="b">
        <f t="shared" si="30"/>
        <v>0</v>
      </c>
      <c r="AF107" s="239">
        <f t="shared" si="38"/>
        <v>82</v>
      </c>
      <c r="AG107" s="239">
        <f t="shared" si="26"/>
        <v>27.777777777777779</v>
      </c>
      <c r="AH107" s="239">
        <f t="shared" si="27"/>
        <v>100</v>
      </c>
      <c r="AI107" s="238">
        <f t="shared" si="31"/>
        <v>85.598843261179923</v>
      </c>
      <c r="AJ107" s="238">
        <f t="shared" si="32"/>
        <v>82</v>
      </c>
      <c r="AK107" s="238">
        <f t="shared" si="33"/>
        <v>82</v>
      </c>
      <c r="AL107" s="238"/>
      <c r="AM107" s="240">
        <f t="shared" si="34"/>
        <v>3.1452004702370737E-2</v>
      </c>
      <c r="AN107" s="238">
        <f t="shared" si="35"/>
        <v>32.147843614261717</v>
      </c>
      <c r="AO107" s="240">
        <f t="shared" si="36"/>
        <v>3.6743492673614889E-2</v>
      </c>
      <c r="AP107" s="238">
        <f t="shared" si="37"/>
        <v>37.221158078371879</v>
      </c>
    </row>
    <row r="108" spans="1:42" ht="22.2" x14ac:dyDescent="0.7">
      <c r="A108" s="118"/>
      <c r="B108" s="118"/>
      <c r="C108" s="118"/>
      <c r="D108" s="118"/>
      <c r="R108" s="220">
        <v>7</v>
      </c>
      <c r="S108" s="220">
        <v>25</v>
      </c>
      <c r="T108" s="220">
        <v>9</v>
      </c>
      <c r="U108" s="220">
        <f t="shared" si="20"/>
        <v>30</v>
      </c>
      <c r="V108" s="237">
        <f t="shared" si="28"/>
        <v>35636.374999999745</v>
      </c>
      <c r="W108" s="234">
        <v>86</v>
      </c>
      <c r="X108" s="234">
        <f t="shared" si="21"/>
        <v>30</v>
      </c>
      <c r="Y108" s="234">
        <v>72</v>
      </c>
      <c r="Z108" s="238">
        <f t="shared" si="22"/>
        <v>78.632483735018013</v>
      </c>
      <c r="AA108" s="238">
        <f t="shared" si="23"/>
        <v>25.906935408343362</v>
      </c>
      <c r="AB108" s="239">
        <f t="shared" si="24"/>
        <v>80.47436280126351</v>
      </c>
      <c r="AC108" s="239">
        <f t="shared" si="25"/>
        <v>26.930201556257529</v>
      </c>
      <c r="AD108" s="239">
        <f t="shared" si="29"/>
        <v>86</v>
      </c>
      <c r="AE108" s="239" t="b">
        <f t="shared" si="30"/>
        <v>0</v>
      </c>
      <c r="AF108" s="239">
        <f t="shared" si="38"/>
        <v>86</v>
      </c>
      <c r="AG108" s="239">
        <f t="shared" si="26"/>
        <v>30</v>
      </c>
      <c r="AH108" s="239">
        <f t="shared" si="27"/>
        <v>100</v>
      </c>
      <c r="AI108" s="238">
        <f t="shared" si="31"/>
        <v>77.6950265394307</v>
      </c>
      <c r="AJ108" s="238">
        <f t="shared" si="32"/>
        <v>72</v>
      </c>
      <c r="AK108" s="238">
        <f t="shared" si="33"/>
        <v>72</v>
      </c>
      <c r="AL108" s="238"/>
      <c r="AM108" s="240">
        <f t="shared" si="34"/>
        <v>3.245772478968903E-2</v>
      </c>
      <c r="AN108" s="238">
        <f t="shared" si="35"/>
        <v>33.352710408663327</v>
      </c>
      <c r="AO108" s="240">
        <f t="shared" si="36"/>
        <v>4.177580758430726E-2</v>
      </c>
      <c r="AP108" s="238">
        <f t="shared" si="37"/>
        <v>42.318893082903251</v>
      </c>
    </row>
    <row r="109" spans="1:42" ht="22.2" x14ac:dyDescent="0.7">
      <c r="A109" s="118"/>
      <c r="B109" s="118"/>
      <c r="C109" s="118"/>
      <c r="D109" s="118"/>
      <c r="R109" s="220">
        <v>7</v>
      </c>
      <c r="S109" s="220">
        <v>25</v>
      </c>
      <c r="T109" s="220">
        <v>10</v>
      </c>
      <c r="U109" s="220">
        <f t="shared" si="20"/>
        <v>31.666666666666668</v>
      </c>
      <c r="V109" s="237">
        <f t="shared" si="28"/>
        <v>35636.41666666641</v>
      </c>
      <c r="W109" s="234">
        <v>89</v>
      </c>
      <c r="X109" s="234">
        <f t="shared" si="21"/>
        <v>31.666666666666668</v>
      </c>
      <c r="Y109" s="234">
        <v>66</v>
      </c>
      <c r="Z109" s="238">
        <f t="shared" si="22"/>
        <v>79.69397004493355</v>
      </c>
      <c r="AA109" s="238">
        <f t="shared" si="23"/>
        <v>26.496650024963106</v>
      </c>
      <c r="AB109" s="239">
        <f t="shared" si="24"/>
        <v>82.020477533700159</v>
      </c>
      <c r="AC109" s="239">
        <f t="shared" si="25"/>
        <v>27.789154185389002</v>
      </c>
      <c r="AD109" s="239">
        <f t="shared" si="29"/>
        <v>89</v>
      </c>
      <c r="AE109" s="239" t="b">
        <f t="shared" si="30"/>
        <v>0</v>
      </c>
      <c r="AF109" s="239">
        <f t="shared" si="38"/>
        <v>89</v>
      </c>
      <c r="AG109" s="239">
        <f t="shared" si="26"/>
        <v>31.666666666666668</v>
      </c>
      <c r="AH109" s="239">
        <f t="shared" si="27"/>
        <v>100</v>
      </c>
      <c r="AI109" s="238">
        <f t="shared" si="31"/>
        <v>72.925312950327111</v>
      </c>
      <c r="AJ109" s="238">
        <f t="shared" si="32"/>
        <v>66</v>
      </c>
      <c r="AK109" s="238">
        <f t="shared" si="33"/>
        <v>66</v>
      </c>
      <c r="AL109" s="238"/>
      <c r="AM109" s="240">
        <f t="shared" si="34"/>
        <v>3.3497151392674264E-2</v>
      </c>
      <c r="AN109" s="238">
        <f t="shared" si="35"/>
        <v>34.532391570954829</v>
      </c>
      <c r="AO109" s="240">
        <f t="shared" si="36"/>
        <v>4.5933503796535997E-2</v>
      </c>
      <c r="AP109" s="238">
        <f t="shared" si="37"/>
        <v>46.530639345890968</v>
      </c>
    </row>
    <row r="110" spans="1:42" ht="22.2" x14ac:dyDescent="0.7">
      <c r="A110" s="118"/>
      <c r="B110" s="118"/>
      <c r="C110" s="118"/>
      <c r="D110" s="118"/>
      <c r="R110" s="220">
        <v>7</v>
      </c>
      <c r="S110" s="220">
        <v>25</v>
      </c>
      <c r="T110" s="220">
        <v>11</v>
      </c>
      <c r="U110" s="220">
        <f t="shared" si="20"/>
        <v>32.777777777777779</v>
      </c>
      <c r="V110" s="237">
        <f t="shared" si="28"/>
        <v>35636.458333333074</v>
      </c>
      <c r="W110" s="234">
        <v>91</v>
      </c>
      <c r="X110" s="234">
        <f t="shared" si="21"/>
        <v>32.777777777777779</v>
      </c>
      <c r="Y110" s="234">
        <v>60</v>
      </c>
      <c r="Z110" s="238">
        <f t="shared" si="22"/>
        <v>79.68471791757166</v>
      </c>
      <c r="AA110" s="238">
        <f t="shared" si="23"/>
        <v>26.491509954206499</v>
      </c>
      <c r="AB110" s="239">
        <f t="shared" si="24"/>
        <v>82.513538438178742</v>
      </c>
      <c r="AC110" s="239">
        <f t="shared" si="25"/>
        <v>28.063076910099326</v>
      </c>
      <c r="AD110" s="239">
        <f t="shared" si="29"/>
        <v>91</v>
      </c>
      <c r="AE110" s="239" t="b">
        <f t="shared" si="30"/>
        <v>0</v>
      </c>
      <c r="AF110" s="239">
        <f t="shared" si="38"/>
        <v>91</v>
      </c>
      <c r="AG110" s="239">
        <f t="shared" si="26"/>
        <v>32.777777777777779</v>
      </c>
      <c r="AH110" s="239">
        <f t="shared" si="27"/>
        <v>100</v>
      </c>
      <c r="AI110" s="238">
        <f t="shared" si="31"/>
        <v>68.218259300304481</v>
      </c>
      <c r="AJ110" s="238">
        <f t="shared" si="32"/>
        <v>60</v>
      </c>
      <c r="AK110" s="238">
        <f t="shared" si="33"/>
        <v>60</v>
      </c>
      <c r="AL110" s="238"/>
      <c r="AM110" s="240">
        <f t="shared" si="34"/>
        <v>3.3359375324456882E-2</v>
      </c>
      <c r="AN110" s="238">
        <f t="shared" si="35"/>
        <v>34.521954224876509</v>
      </c>
      <c r="AO110" s="240">
        <f t="shared" si="36"/>
        <v>4.8900947732490714E-2</v>
      </c>
      <c r="AP110" s="238">
        <f t="shared" si="37"/>
        <v>49.536660053013094</v>
      </c>
    </row>
    <row r="111" spans="1:42" ht="22.2" x14ac:dyDescent="0.7">
      <c r="A111" s="118"/>
      <c r="B111" s="118"/>
      <c r="C111" s="118"/>
      <c r="D111" s="118"/>
      <c r="R111" s="220">
        <v>7</v>
      </c>
      <c r="S111" s="220">
        <v>25</v>
      </c>
      <c r="T111" s="220">
        <v>12</v>
      </c>
      <c r="U111" s="220">
        <f t="shared" si="20"/>
        <v>33.333333333333336</v>
      </c>
      <c r="V111" s="237">
        <f t="shared" si="28"/>
        <v>35636.499999999738</v>
      </c>
      <c r="W111" s="234">
        <v>92</v>
      </c>
      <c r="X111" s="234">
        <f t="shared" si="21"/>
        <v>33.333333333333336</v>
      </c>
      <c r="Y111" s="234">
        <v>58</v>
      </c>
      <c r="Z111" s="238">
        <f t="shared" si="22"/>
        <v>79.944776836142822</v>
      </c>
      <c r="AA111" s="238">
        <f t="shared" si="23"/>
        <v>26.635987131190479</v>
      </c>
      <c r="AB111" s="239">
        <f t="shared" si="24"/>
        <v>82.95858262710712</v>
      </c>
      <c r="AC111" s="239">
        <f t="shared" si="25"/>
        <v>28.310323681726203</v>
      </c>
      <c r="AD111" s="239">
        <f t="shared" si="29"/>
        <v>92</v>
      </c>
      <c r="AE111" s="239" t="b">
        <f t="shared" si="30"/>
        <v>0</v>
      </c>
      <c r="AF111" s="239">
        <f t="shared" si="38"/>
        <v>92</v>
      </c>
      <c r="AG111" s="239">
        <f t="shared" si="26"/>
        <v>33.333333333333336</v>
      </c>
      <c r="AH111" s="239">
        <f t="shared" si="27"/>
        <v>100</v>
      </c>
      <c r="AI111" s="238">
        <f t="shared" si="31"/>
        <v>66.610282081745822</v>
      </c>
      <c r="AJ111" s="238">
        <f t="shared" si="32"/>
        <v>58</v>
      </c>
      <c r="AK111" s="238">
        <f t="shared" si="33"/>
        <v>58</v>
      </c>
      <c r="AL111" s="238"/>
      <c r="AM111" s="240">
        <f t="shared" si="34"/>
        <v>3.3602284688910064E-2</v>
      </c>
      <c r="AN111" s="238">
        <f t="shared" si="35"/>
        <v>34.816376733630449</v>
      </c>
      <c r="AO111" s="240">
        <f t="shared" si="36"/>
        <v>5.0446092763385228E-2</v>
      </c>
      <c r="AP111" s="238">
        <f t="shared" si="37"/>
        <v>51.101891969309236</v>
      </c>
    </row>
    <row r="112" spans="1:42" ht="22.2" x14ac:dyDescent="0.7">
      <c r="A112" s="118"/>
      <c r="B112" s="118"/>
      <c r="C112" s="118"/>
      <c r="D112" s="118"/>
      <c r="R112" s="220">
        <v>7</v>
      </c>
      <c r="S112" s="220">
        <v>25</v>
      </c>
      <c r="T112" s="220">
        <v>13</v>
      </c>
      <c r="U112" s="220">
        <f t="shared" si="20"/>
        <v>33.333333333333336</v>
      </c>
      <c r="V112" s="237">
        <f t="shared" si="28"/>
        <v>35636.541666666402</v>
      </c>
      <c r="W112" s="234">
        <v>92</v>
      </c>
      <c r="X112" s="234">
        <f t="shared" si="21"/>
        <v>33.333333333333336</v>
      </c>
      <c r="Y112" s="234">
        <v>58</v>
      </c>
      <c r="Z112" s="238">
        <f t="shared" si="22"/>
        <v>79.944776836142822</v>
      </c>
      <c r="AA112" s="238">
        <f t="shared" si="23"/>
        <v>26.635987131190479</v>
      </c>
      <c r="AB112" s="239">
        <f t="shared" si="24"/>
        <v>82.95858262710712</v>
      </c>
      <c r="AC112" s="239">
        <f t="shared" si="25"/>
        <v>28.310323681726203</v>
      </c>
      <c r="AD112" s="239">
        <f t="shared" si="29"/>
        <v>92</v>
      </c>
      <c r="AE112" s="239" t="b">
        <f t="shared" si="30"/>
        <v>0</v>
      </c>
      <c r="AF112" s="239">
        <f t="shared" si="38"/>
        <v>92</v>
      </c>
      <c r="AG112" s="239">
        <f t="shared" si="26"/>
        <v>33.333333333333336</v>
      </c>
      <c r="AH112" s="239">
        <f t="shared" si="27"/>
        <v>100</v>
      </c>
      <c r="AI112" s="238">
        <f t="shared" si="31"/>
        <v>66.610282081745822</v>
      </c>
      <c r="AJ112" s="238">
        <f t="shared" si="32"/>
        <v>58</v>
      </c>
      <c r="AK112" s="238">
        <f t="shared" si="33"/>
        <v>58</v>
      </c>
      <c r="AL112" s="238"/>
      <c r="AM112" s="240">
        <f t="shared" si="34"/>
        <v>3.3602284688910064E-2</v>
      </c>
      <c r="AN112" s="238">
        <f t="shared" si="35"/>
        <v>34.816376733630449</v>
      </c>
      <c r="AO112" s="240">
        <f t="shared" si="36"/>
        <v>5.0446092763385228E-2</v>
      </c>
      <c r="AP112" s="238">
        <f t="shared" si="37"/>
        <v>51.101891969309236</v>
      </c>
    </row>
    <row r="113" spans="1:42" ht="22.2" x14ac:dyDescent="0.7">
      <c r="A113" s="118"/>
      <c r="B113" s="118"/>
      <c r="C113" s="118"/>
      <c r="D113" s="118"/>
      <c r="R113" s="220">
        <v>7</v>
      </c>
      <c r="S113" s="220">
        <v>25</v>
      </c>
      <c r="T113" s="220">
        <v>14</v>
      </c>
      <c r="U113" s="220">
        <f t="shared" si="20"/>
        <v>34.444444444444443</v>
      </c>
      <c r="V113" s="237">
        <f t="shared" si="28"/>
        <v>35636.583333333067</v>
      </c>
      <c r="W113" s="234">
        <v>94</v>
      </c>
      <c r="X113" s="234">
        <f t="shared" si="21"/>
        <v>34.444444444444443</v>
      </c>
      <c r="Y113" s="234">
        <v>51</v>
      </c>
      <c r="Z113" s="238">
        <f t="shared" si="22"/>
        <v>79.361617460269144</v>
      </c>
      <c r="AA113" s="238">
        <f t="shared" si="23"/>
        <v>26.312009700149545</v>
      </c>
      <c r="AB113" s="239">
        <f t="shared" si="24"/>
        <v>83.021213095201858</v>
      </c>
      <c r="AC113" s="239">
        <f t="shared" si="25"/>
        <v>28.34511838622328</v>
      </c>
      <c r="AD113" s="239">
        <f t="shared" si="29"/>
        <v>94</v>
      </c>
      <c r="AE113" s="239" t="b">
        <f t="shared" si="30"/>
        <v>0</v>
      </c>
      <c r="AF113" s="239">
        <f t="shared" si="38"/>
        <v>94</v>
      </c>
      <c r="AG113" s="239">
        <f t="shared" si="26"/>
        <v>34.444444444444443</v>
      </c>
      <c r="AH113" s="239">
        <f t="shared" si="27"/>
        <v>100</v>
      </c>
      <c r="AI113" s="238">
        <f t="shared" si="31"/>
        <v>61.105969546079955</v>
      </c>
      <c r="AJ113" s="238">
        <f t="shared" si="32"/>
        <v>51</v>
      </c>
      <c r="AK113" s="238">
        <f t="shared" si="33"/>
        <v>51</v>
      </c>
      <c r="AL113" s="238"/>
      <c r="AM113" s="240">
        <f t="shared" si="34"/>
        <v>3.2791872032673849E-2</v>
      </c>
      <c r="AN113" s="238">
        <f t="shared" si="35"/>
        <v>34.159183604030389</v>
      </c>
      <c r="AO113" s="240">
        <f t="shared" si="36"/>
        <v>5.3663941962242376E-2</v>
      </c>
      <c r="AP113" s="238">
        <f t="shared" si="37"/>
        <v>54.361573207751526</v>
      </c>
    </row>
    <row r="114" spans="1:42" ht="22.2" x14ac:dyDescent="0.7">
      <c r="A114" s="118"/>
      <c r="B114" s="118"/>
      <c r="C114" s="118"/>
      <c r="D114" s="118"/>
      <c r="R114" s="220">
        <v>7</v>
      </c>
      <c r="S114" s="220">
        <v>25</v>
      </c>
      <c r="T114" s="220">
        <v>15</v>
      </c>
      <c r="U114" s="220">
        <f t="shared" si="20"/>
        <v>35.555555555555557</v>
      </c>
      <c r="V114" s="237">
        <f t="shared" si="28"/>
        <v>35636.624999999731</v>
      </c>
      <c r="W114" s="234">
        <v>96</v>
      </c>
      <c r="X114" s="234">
        <f t="shared" si="21"/>
        <v>35.555555555555557</v>
      </c>
      <c r="Y114" s="234">
        <v>49</v>
      </c>
      <c r="Z114" s="238">
        <f t="shared" si="22"/>
        <v>80.370091005331943</v>
      </c>
      <c r="AA114" s="238">
        <f t="shared" si="23"/>
        <v>26.872272780739991</v>
      </c>
      <c r="AB114" s="239">
        <f t="shared" si="24"/>
        <v>84.277568253998965</v>
      </c>
      <c r="AC114" s="239">
        <f t="shared" si="25"/>
        <v>29.043093474443893</v>
      </c>
      <c r="AD114" s="239">
        <f t="shared" si="29"/>
        <v>96</v>
      </c>
      <c r="AE114" s="239" t="b">
        <f t="shared" si="30"/>
        <v>0</v>
      </c>
      <c r="AF114" s="239">
        <f t="shared" si="38"/>
        <v>96</v>
      </c>
      <c r="AG114" s="239">
        <f t="shared" si="26"/>
        <v>35.555555555555557</v>
      </c>
      <c r="AH114" s="239">
        <f t="shared" si="27"/>
        <v>100</v>
      </c>
      <c r="AI114" s="238">
        <f t="shared" si="31"/>
        <v>59.331963248797869</v>
      </c>
      <c r="AJ114" s="238">
        <f t="shared" si="32"/>
        <v>49</v>
      </c>
      <c r="AK114" s="238">
        <f t="shared" si="33"/>
        <v>49</v>
      </c>
      <c r="AL114" s="238"/>
      <c r="AM114" s="240">
        <f t="shared" si="34"/>
        <v>3.3853839552751057E-2</v>
      </c>
      <c r="AN114" s="238">
        <f t="shared" si="35"/>
        <v>35.302606466206292</v>
      </c>
      <c r="AO114" s="240">
        <f t="shared" si="36"/>
        <v>5.7058350506271123E-2</v>
      </c>
      <c r="AP114" s="238">
        <f t="shared" si="37"/>
        <v>57.800109062852648</v>
      </c>
    </row>
    <row r="115" spans="1:42" ht="22.2" x14ac:dyDescent="0.7">
      <c r="A115" s="118"/>
      <c r="B115" s="118"/>
      <c r="C115" s="118"/>
      <c r="D115" s="118"/>
      <c r="R115" s="220">
        <v>7</v>
      </c>
      <c r="S115" s="220">
        <v>25</v>
      </c>
      <c r="T115" s="220">
        <v>16</v>
      </c>
      <c r="U115" s="220">
        <f t="shared" si="20"/>
        <v>35.555555555555557</v>
      </c>
      <c r="V115" s="237">
        <f t="shared" si="28"/>
        <v>35636.666666666395</v>
      </c>
      <c r="W115" s="234">
        <v>96</v>
      </c>
      <c r="X115" s="234">
        <f t="shared" si="21"/>
        <v>35.555555555555557</v>
      </c>
      <c r="Y115" s="234">
        <v>48</v>
      </c>
      <c r="Z115" s="238">
        <f t="shared" si="22"/>
        <v>80.005159966801585</v>
      </c>
      <c r="AA115" s="238">
        <f t="shared" si="23"/>
        <v>26.669533314889794</v>
      </c>
      <c r="AB115" s="239">
        <f t="shared" si="24"/>
        <v>84.003869975101196</v>
      </c>
      <c r="AC115" s="239">
        <f t="shared" si="25"/>
        <v>28.891038875056246</v>
      </c>
      <c r="AD115" s="239">
        <f t="shared" si="29"/>
        <v>96</v>
      </c>
      <c r="AE115" s="239" t="b">
        <f t="shared" si="30"/>
        <v>0</v>
      </c>
      <c r="AF115" s="239">
        <f t="shared" si="38"/>
        <v>96</v>
      </c>
      <c r="AG115" s="239">
        <f t="shared" si="26"/>
        <v>35.555555555555557</v>
      </c>
      <c r="AH115" s="239">
        <f t="shared" si="27"/>
        <v>100</v>
      </c>
      <c r="AI115" s="238">
        <f t="shared" si="31"/>
        <v>58.571633322151541</v>
      </c>
      <c r="AJ115" s="238">
        <f t="shared" si="32"/>
        <v>48</v>
      </c>
      <c r="AK115" s="238">
        <f t="shared" si="33"/>
        <v>48</v>
      </c>
      <c r="AL115" s="238"/>
      <c r="AM115" s="240">
        <f t="shared" si="34"/>
        <v>3.3420007838201121E-2</v>
      </c>
      <c r="AN115" s="238">
        <f t="shared" si="35"/>
        <v>34.885050852290874</v>
      </c>
      <c r="AO115" s="240">
        <f t="shared" si="36"/>
        <v>5.7058350506271123E-2</v>
      </c>
      <c r="AP115" s="238">
        <f t="shared" si="37"/>
        <v>57.800109062852648</v>
      </c>
    </row>
    <row r="116" spans="1:42" ht="22.2" x14ac:dyDescent="0.7">
      <c r="A116" s="118"/>
      <c r="B116" s="118"/>
      <c r="C116" s="118"/>
      <c r="D116" s="118"/>
      <c r="R116" s="220">
        <v>7</v>
      </c>
      <c r="S116" s="220">
        <v>25</v>
      </c>
      <c r="T116" s="220">
        <v>17</v>
      </c>
      <c r="U116" s="220">
        <f t="shared" si="20"/>
        <v>35</v>
      </c>
      <c r="V116" s="237">
        <f t="shared" si="28"/>
        <v>35636.708333333059</v>
      </c>
      <c r="W116" s="234">
        <v>95</v>
      </c>
      <c r="X116" s="234">
        <f t="shared" si="21"/>
        <v>35</v>
      </c>
      <c r="Y116" s="234">
        <v>47</v>
      </c>
      <c r="Z116" s="238">
        <f t="shared" si="22"/>
        <v>78.789893647885066</v>
      </c>
      <c r="AA116" s="238">
        <f t="shared" si="23"/>
        <v>25.994385359936171</v>
      </c>
      <c r="AB116" s="239">
        <f t="shared" si="24"/>
        <v>82.842420235913806</v>
      </c>
      <c r="AC116" s="239">
        <f t="shared" si="25"/>
        <v>28.245789019952138</v>
      </c>
      <c r="AD116" s="239">
        <f t="shared" si="29"/>
        <v>95</v>
      </c>
      <c r="AE116" s="239" t="b">
        <f t="shared" si="30"/>
        <v>0</v>
      </c>
      <c r="AF116" s="239">
        <f t="shared" si="38"/>
        <v>95</v>
      </c>
      <c r="AG116" s="239">
        <f t="shared" si="26"/>
        <v>35</v>
      </c>
      <c r="AH116" s="239">
        <f t="shared" si="27"/>
        <v>100</v>
      </c>
      <c r="AI116" s="238">
        <f t="shared" si="31"/>
        <v>57.950895544935413</v>
      </c>
      <c r="AJ116" s="238">
        <f t="shared" si="32"/>
        <v>47</v>
      </c>
      <c r="AK116" s="238">
        <f t="shared" si="33"/>
        <v>47</v>
      </c>
      <c r="AL116" s="238"/>
      <c r="AM116" s="240">
        <f t="shared" si="34"/>
        <v>3.2069203699883288E-2</v>
      </c>
      <c r="AN116" s="238">
        <f t="shared" si="35"/>
        <v>33.525397952298235</v>
      </c>
      <c r="AO116" s="240">
        <f t="shared" si="36"/>
        <v>5.5338581739460213E-2</v>
      </c>
      <c r="AP116" s="238">
        <f t="shared" si="37"/>
        <v>56.057983302073197</v>
      </c>
    </row>
    <row r="117" spans="1:42" ht="22.2" x14ac:dyDescent="0.7">
      <c r="A117" s="118"/>
      <c r="B117" s="118"/>
      <c r="C117" s="118"/>
      <c r="D117" s="118"/>
      <c r="R117" s="220">
        <v>7</v>
      </c>
      <c r="S117" s="220">
        <v>25</v>
      </c>
      <c r="T117" s="220">
        <v>18</v>
      </c>
      <c r="U117" s="220">
        <f t="shared" si="20"/>
        <v>33.888888888888886</v>
      </c>
      <c r="V117" s="237">
        <f t="shared" si="28"/>
        <v>35636.749999999724</v>
      </c>
      <c r="W117" s="234">
        <v>93</v>
      </c>
      <c r="X117" s="234">
        <f t="shared" si="21"/>
        <v>33.888888888888886</v>
      </c>
      <c r="Y117" s="234">
        <v>49</v>
      </c>
      <c r="Z117" s="238">
        <f t="shared" si="22"/>
        <v>77.803789649354954</v>
      </c>
      <c r="AA117" s="238">
        <f t="shared" si="23"/>
        <v>25.446549805197218</v>
      </c>
      <c r="AB117" s="239">
        <f t="shared" si="24"/>
        <v>81.602842237016219</v>
      </c>
      <c r="AC117" s="239">
        <f t="shared" si="25"/>
        <v>27.557134576120145</v>
      </c>
      <c r="AD117" s="239">
        <f t="shared" si="29"/>
        <v>93</v>
      </c>
      <c r="AE117" s="239" t="b">
        <f t="shared" si="30"/>
        <v>0</v>
      </c>
      <c r="AF117" s="239">
        <f t="shared" si="38"/>
        <v>93</v>
      </c>
      <c r="AG117" s="239">
        <f t="shared" si="26"/>
        <v>33.888888888888886</v>
      </c>
      <c r="AH117" s="239">
        <f t="shared" si="27"/>
        <v>100</v>
      </c>
      <c r="AI117" s="238">
        <f t="shared" si="31"/>
        <v>59.733698850129549</v>
      </c>
      <c r="AJ117" s="238">
        <f t="shared" si="32"/>
        <v>49</v>
      </c>
      <c r="AK117" s="238">
        <f t="shared" si="33"/>
        <v>49</v>
      </c>
      <c r="AL117" s="238"/>
      <c r="AM117" s="240">
        <f t="shared" si="34"/>
        <v>3.1081496996040268E-2</v>
      </c>
      <c r="AN117" s="238">
        <f t="shared" si="35"/>
        <v>32.456310246887682</v>
      </c>
      <c r="AO117" s="240">
        <f t="shared" si="36"/>
        <v>5.2033437731728312E-2</v>
      </c>
      <c r="AP117" s="238">
        <f t="shared" si="37"/>
        <v>52.709872422240778</v>
      </c>
    </row>
    <row r="118" spans="1:42" ht="22.2" x14ac:dyDescent="0.7">
      <c r="A118" s="118"/>
      <c r="B118" s="118"/>
      <c r="C118" s="118"/>
      <c r="D118" s="118"/>
      <c r="R118" s="220">
        <v>7</v>
      </c>
      <c r="S118" s="220">
        <v>25</v>
      </c>
      <c r="T118" s="220">
        <v>19</v>
      </c>
      <c r="U118" s="220">
        <f t="shared" si="20"/>
        <v>32.222222222222221</v>
      </c>
      <c r="V118" s="237">
        <f t="shared" si="28"/>
        <v>35636.791666666388</v>
      </c>
      <c r="W118" s="234">
        <v>90</v>
      </c>
      <c r="X118" s="234">
        <f t="shared" si="21"/>
        <v>32.222222222222221</v>
      </c>
      <c r="Y118" s="234">
        <v>59</v>
      </c>
      <c r="Z118" s="238">
        <f t="shared" si="22"/>
        <v>78.475192393075147</v>
      </c>
      <c r="AA118" s="238">
        <f t="shared" si="23"/>
        <v>25.819551329486213</v>
      </c>
      <c r="AB118" s="239">
        <f t="shared" si="24"/>
        <v>81.356394294806364</v>
      </c>
      <c r="AC118" s="239">
        <f t="shared" si="25"/>
        <v>27.420219052670227</v>
      </c>
      <c r="AD118" s="239">
        <f t="shared" si="29"/>
        <v>90</v>
      </c>
      <c r="AE118" s="239" t="b">
        <f t="shared" si="30"/>
        <v>0</v>
      </c>
      <c r="AF118" s="239">
        <f t="shared" si="38"/>
        <v>90</v>
      </c>
      <c r="AG118" s="239">
        <f t="shared" si="26"/>
        <v>32.222222222222221</v>
      </c>
      <c r="AH118" s="239">
        <f t="shared" si="27"/>
        <v>100</v>
      </c>
      <c r="AI118" s="238">
        <f t="shared" si="31"/>
        <v>67.569188237528323</v>
      </c>
      <c r="AJ118" s="238">
        <f t="shared" si="32"/>
        <v>59</v>
      </c>
      <c r="AK118" s="238">
        <f t="shared" si="33"/>
        <v>59</v>
      </c>
      <c r="AL118" s="238"/>
      <c r="AM118" s="240">
        <f t="shared" si="34"/>
        <v>3.202580874196985E-2</v>
      </c>
      <c r="AN118" s="238">
        <f t="shared" si="35"/>
        <v>33.180927843478791</v>
      </c>
      <c r="AO118" s="240">
        <f t="shared" si="36"/>
        <v>4.7397060076241275E-2</v>
      </c>
      <c r="AP118" s="238">
        <f t="shared" si="37"/>
        <v>48.013221857232409</v>
      </c>
    </row>
    <row r="119" spans="1:42" ht="22.2" x14ac:dyDescent="0.7">
      <c r="A119" s="118"/>
      <c r="B119" s="118"/>
      <c r="C119" s="118"/>
      <c r="D119" s="118"/>
      <c r="R119" s="220">
        <v>7</v>
      </c>
      <c r="S119" s="220">
        <v>25</v>
      </c>
      <c r="T119" s="220">
        <v>20</v>
      </c>
      <c r="U119" s="220">
        <f t="shared" si="20"/>
        <v>29.444444444444443</v>
      </c>
      <c r="V119" s="237">
        <f t="shared" si="28"/>
        <v>35636.833333333052</v>
      </c>
      <c r="W119" s="234">
        <v>85</v>
      </c>
      <c r="X119" s="234">
        <f t="shared" si="21"/>
        <v>29.444444444444443</v>
      </c>
      <c r="Y119" s="234">
        <v>72</v>
      </c>
      <c r="Z119" s="238">
        <f t="shared" si="22"/>
        <v>77.694917290921055</v>
      </c>
      <c r="AA119" s="238">
        <f t="shared" si="23"/>
        <v>25.386065161622831</v>
      </c>
      <c r="AB119" s="239">
        <f t="shared" si="24"/>
        <v>79.521187968190787</v>
      </c>
      <c r="AC119" s="239">
        <f t="shared" si="25"/>
        <v>26.400659982328236</v>
      </c>
      <c r="AD119" s="239">
        <f t="shared" si="29"/>
        <v>85</v>
      </c>
      <c r="AE119" s="239" t="b">
        <f t="shared" si="30"/>
        <v>0</v>
      </c>
      <c r="AF119" s="239">
        <f t="shared" si="38"/>
        <v>85</v>
      </c>
      <c r="AG119" s="239">
        <f t="shared" si="26"/>
        <v>29.444444444444443</v>
      </c>
      <c r="AH119" s="239">
        <f t="shared" si="27"/>
        <v>100</v>
      </c>
      <c r="AI119" s="238">
        <f t="shared" si="31"/>
        <v>77.75621402335284</v>
      </c>
      <c r="AJ119" s="238">
        <f t="shared" si="32"/>
        <v>72</v>
      </c>
      <c r="AK119" s="238">
        <f t="shared" si="33"/>
        <v>72</v>
      </c>
      <c r="AL119" s="238"/>
      <c r="AM119" s="240">
        <f t="shared" si="34"/>
        <v>3.1463773062502379E-2</v>
      </c>
      <c r="AN119" s="238">
        <f t="shared" si="35"/>
        <v>32.3401182163906</v>
      </c>
      <c r="AO119" s="240">
        <f t="shared" si="36"/>
        <v>4.0464641260765002E-2</v>
      </c>
      <c r="AP119" s="238">
        <f t="shared" si="37"/>
        <v>40.990681597154946</v>
      </c>
    </row>
    <row r="120" spans="1:42" ht="22.2" x14ac:dyDescent="0.7">
      <c r="A120" s="118"/>
      <c r="B120" s="118"/>
      <c r="C120" s="118"/>
      <c r="D120" s="118"/>
      <c r="R120" s="220">
        <v>7</v>
      </c>
      <c r="S120" s="220">
        <v>25</v>
      </c>
      <c r="T120" s="220">
        <v>21</v>
      </c>
      <c r="U120" s="220">
        <f t="shared" si="20"/>
        <v>28.888888888888889</v>
      </c>
      <c r="V120" s="237">
        <f t="shared" si="28"/>
        <v>35636.874999999716</v>
      </c>
      <c r="W120" s="234">
        <v>84</v>
      </c>
      <c r="X120" s="234">
        <f t="shared" si="21"/>
        <v>28.888888888888889</v>
      </c>
      <c r="Y120" s="234">
        <v>72</v>
      </c>
      <c r="Z120" s="238">
        <f t="shared" si="22"/>
        <v>76.757349782677863</v>
      </c>
      <c r="AA120" s="238">
        <f t="shared" si="23"/>
        <v>24.865194323709947</v>
      </c>
      <c r="AB120" s="239">
        <f t="shared" si="24"/>
        <v>78.568012337008398</v>
      </c>
      <c r="AC120" s="239">
        <f t="shared" si="25"/>
        <v>25.871117965004686</v>
      </c>
      <c r="AD120" s="239">
        <f t="shared" si="29"/>
        <v>84</v>
      </c>
      <c r="AE120" s="239" t="b">
        <f t="shared" si="30"/>
        <v>0</v>
      </c>
      <c r="AF120" s="239">
        <f t="shared" si="38"/>
        <v>84</v>
      </c>
      <c r="AG120" s="239">
        <f t="shared" si="26"/>
        <v>28.888888888888889</v>
      </c>
      <c r="AH120" s="239">
        <f t="shared" si="27"/>
        <v>100</v>
      </c>
      <c r="AI120" s="238">
        <f t="shared" si="31"/>
        <v>77.81771167280796</v>
      </c>
      <c r="AJ120" s="238">
        <f t="shared" si="32"/>
        <v>72</v>
      </c>
      <c r="AK120" s="238">
        <f t="shared" si="33"/>
        <v>72</v>
      </c>
      <c r="AL120" s="238"/>
      <c r="AM120" s="240">
        <f t="shared" si="34"/>
        <v>3.049630825961689E-2</v>
      </c>
      <c r="AN120" s="238">
        <f t="shared" si="35"/>
        <v>31.354431776765239</v>
      </c>
      <c r="AO120" s="240">
        <f t="shared" si="36"/>
        <v>3.9189417941048625E-2</v>
      </c>
      <c r="AP120" s="238">
        <f t="shared" si="37"/>
        <v>39.698880374282254</v>
      </c>
    </row>
    <row r="121" spans="1:42" ht="22.2" x14ac:dyDescent="0.7">
      <c r="A121" s="118"/>
      <c r="B121" s="118"/>
      <c r="C121" s="118"/>
      <c r="D121" s="118"/>
      <c r="R121" s="220">
        <v>7</v>
      </c>
      <c r="S121" s="220">
        <v>25</v>
      </c>
      <c r="T121" s="220">
        <v>22</v>
      </c>
      <c r="U121" s="220">
        <f t="shared" si="20"/>
        <v>27.222222222222221</v>
      </c>
      <c r="V121" s="237">
        <f t="shared" si="28"/>
        <v>35636.91666666638</v>
      </c>
      <c r="W121" s="234">
        <v>81</v>
      </c>
      <c r="X121" s="234">
        <f t="shared" si="21"/>
        <v>27.222222222222221</v>
      </c>
      <c r="Y121" s="234">
        <v>79</v>
      </c>
      <c r="Z121" s="238">
        <f t="shared" si="22"/>
        <v>75.774639524657658</v>
      </c>
      <c r="AA121" s="238">
        <f t="shared" si="23"/>
        <v>24.319244180365388</v>
      </c>
      <c r="AB121" s="239">
        <f t="shared" si="24"/>
        <v>77.080979643493237</v>
      </c>
      <c r="AC121" s="239">
        <f t="shared" si="25"/>
        <v>25.044988690829598</v>
      </c>
      <c r="AD121" s="239">
        <f t="shared" si="29"/>
        <v>81</v>
      </c>
      <c r="AE121" s="239" t="b">
        <f t="shared" si="30"/>
        <v>0</v>
      </c>
      <c r="AF121" s="239">
        <f t="shared" si="38"/>
        <v>81</v>
      </c>
      <c r="AG121" s="239">
        <f t="shared" si="26"/>
        <v>27.222222222222221</v>
      </c>
      <c r="AH121" s="239">
        <f t="shared" si="27"/>
        <v>100</v>
      </c>
      <c r="AI121" s="238">
        <f t="shared" si="31"/>
        <v>83.304162724630501</v>
      </c>
      <c r="AJ121" s="238">
        <f t="shared" si="32"/>
        <v>79</v>
      </c>
      <c r="AK121" s="238">
        <f t="shared" si="33"/>
        <v>79</v>
      </c>
      <c r="AL121" s="238"/>
      <c r="AM121" s="240">
        <f t="shared" si="34"/>
        <v>2.9632269277671333E-2</v>
      </c>
      <c r="AN121" s="238">
        <f t="shared" si="35"/>
        <v>30.349507662678164</v>
      </c>
      <c r="AO121" s="240">
        <f t="shared" si="36"/>
        <v>3.5571174727034346E-2</v>
      </c>
      <c r="AP121" s="238">
        <f t="shared" si="37"/>
        <v>36.033599998485791</v>
      </c>
    </row>
    <row r="122" spans="1:42" ht="22.2" x14ac:dyDescent="0.7">
      <c r="A122" s="118"/>
      <c r="B122" s="118"/>
      <c r="C122" s="118"/>
      <c r="D122" s="118"/>
      <c r="R122" s="220">
        <v>7</v>
      </c>
      <c r="S122" s="220">
        <v>25</v>
      </c>
      <c r="T122" s="220">
        <v>23</v>
      </c>
      <c r="U122" s="220">
        <f t="shared" si="20"/>
        <v>27.777777777777779</v>
      </c>
      <c r="V122" s="237">
        <f t="shared" si="28"/>
        <v>35636.958333333045</v>
      </c>
      <c r="W122" s="234">
        <v>82</v>
      </c>
      <c r="X122" s="234">
        <f t="shared" si="21"/>
        <v>27.777777777777779</v>
      </c>
      <c r="Y122" s="234">
        <v>79</v>
      </c>
      <c r="Z122" s="238">
        <f t="shared" si="22"/>
        <v>76.732001052191208</v>
      </c>
      <c r="AA122" s="238">
        <f t="shared" si="23"/>
        <v>24.851111695661803</v>
      </c>
      <c r="AB122" s="239">
        <f t="shared" si="24"/>
        <v>78.049000789143406</v>
      </c>
      <c r="AC122" s="239">
        <f t="shared" si="25"/>
        <v>25.582778216190803</v>
      </c>
      <c r="AD122" s="239">
        <f t="shared" si="29"/>
        <v>82</v>
      </c>
      <c r="AE122" s="239" t="b">
        <f t="shared" si="30"/>
        <v>0</v>
      </c>
      <c r="AF122" s="239">
        <f t="shared" si="38"/>
        <v>82</v>
      </c>
      <c r="AG122" s="239">
        <f t="shared" si="26"/>
        <v>27.777777777777779</v>
      </c>
      <c r="AH122" s="239">
        <f t="shared" si="27"/>
        <v>100</v>
      </c>
      <c r="AI122" s="238">
        <f t="shared" si="31"/>
        <v>83.265081632107893</v>
      </c>
      <c r="AJ122" s="238">
        <f t="shared" si="32"/>
        <v>79</v>
      </c>
      <c r="AK122" s="238">
        <f t="shared" si="33"/>
        <v>79</v>
      </c>
      <c r="AL122" s="238"/>
      <c r="AM122" s="240">
        <f t="shared" si="34"/>
        <v>3.059449916917302E-2</v>
      </c>
      <c r="AN122" s="238">
        <f t="shared" si="35"/>
        <v>31.328149942027842</v>
      </c>
      <c r="AO122" s="240">
        <f t="shared" si="36"/>
        <v>3.6743492673614889E-2</v>
      </c>
      <c r="AP122" s="238">
        <f t="shared" si="37"/>
        <v>37.221158078371879</v>
      </c>
    </row>
    <row r="123" spans="1:42" ht="22.2" x14ac:dyDescent="0.7">
      <c r="A123" s="118"/>
      <c r="B123" s="118"/>
      <c r="C123" s="118"/>
      <c r="D123" s="118"/>
      <c r="R123" s="220">
        <v>7</v>
      </c>
      <c r="S123" s="220">
        <v>25</v>
      </c>
      <c r="T123" s="220">
        <v>24</v>
      </c>
      <c r="U123" s="220">
        <f t="shared" si="20"/>
        <v>26.666666666666668</v>
      </c>
      <c r="V123" s="237">
        <f t="shared" si="28"/>
        <v>35636.999999999709</v>
      </c>
      <c r="W123" s="234">
        <v>80</v>
      </c>
      <c r="X123" s="234">
        <f t="shared" si="21"/>
        <v>26.666666666666668</v>
      </c>
      <c r="Y123" s="234">
        <v>85</v>
      </c>
      <c r="Z123" s="238">
        <f t="shared" si="22"/>
        <v>76.344905095654411</v>
      </c>
      <c r="AA123" s="238">
        <f t="shared" si="23"/>
        <v>24.636058386474694</v>
      </c>
      <c r="AB123" s="239">
        <f t="shared" si="24"/>
        <v>77.258678821740801</v>
      </c>
      <c r="AC123" s="239">
        <f t="shared" si="25"/>
        <v>25.14371045652269</v>
      </c>
      <c r="AD123" s="239">
        <f t="shared" si="29"/>
        <v>80</v>
      </c>
      <c r="AE123" s="239" t="b">
        <f t="shared" si="30"/>
        <v>0</v>
      </c>
      <c r="AF123" s="239">
        <f t="shared" si="38"/>
        <v>80</v>
      </c>
      <c r="AG123" s="239">
        <f t="shared" si="26"/>
        <v>26.666666666666668</v>
      </c>
      <c r="AH123" s="239">
        <f t="shared" si="27"/>
        <v>100</v>
      </c>
      <c r="AI123" s="238">
        <f t="shared" si="31"/>
        <v>88.00770343184584</v>
      </c>
      <c r="AJ123" s="238">
        <f t="shared" si="32"/>
        <v>85</v>
      </c>
      <c r="AK123" s="238">
        <f t="shared" si="33"/>
        <v>85</v>
      </c>
      <c r="AL123" s="238"/>
      <c r="AM123" s="240">
        <f t="shared" si="34"/>
        <v>3.0302431728920731E-2</v>
      </c>
      <c r="AN123" s="238">
        <f t="shared" si="35"/>
        <v>30.929184759689246</v>
      </c>
      <c r="AO123" s="240">
        <f t="shared" si="36"/>
        <v>3.4431567405218425E-2</v>
      </c>
      <c r="AP123" s="238">
        <f t="shared" si="37"/>
        <v>34.879177781486263</v>
      </c>
    </row>
    <row r="124" spans="1:42" ht="22.2" x14ac:dyDescent="0.7">
      <c r="A124" s="118"/>
      <c r="B124" s="118"/>
      <c r="C124" s="118"/>
      <c r="D124" s="118"/>
      <c r="R124" s="220">
        <v>7</v>
      </c>
      <c r="S124" s="220">
        <v>26</v>
      </c>
      <c r="T124" s="220">
        <v>1</v>
      </c>
      <c r="U124" s="220">
        <f t="shared" si="20"/>
        <v>26.111111111111111</v>
      </c>
      <c r="V124" s="237">
        <f t="shared" si="28"/>
        <v>35637.041666666373</v>
      </c>
      <c r="W124" s="234">
        <v>79</v>
      </c>
      <c r="X124" s="234">
        <f t="shared" si="21"/>
        <v>26.111111111111111</v>
      </c>
      <c r="Y124" s="234">
        <v>88</v>
      </c>
      <c r="Z124" s="238">
        <f t="shared" si="22"/>
        <v>76.122117280059086</v>
      </c>
      <c r="AA124" s="238">
        <f t="shared" si="23"/>
        <v>24.512287377810623</v>
      </c>
      <c r="AB124" s="239">
        <f t="shared" si="24"/>
        <v>76.841587960044308</v>
      </c>
      <c r="AC124" s="239">
        <f t="shared" si="25"/>
        <v>24.911993311135749</v>
      </c>
      <c r="AD124" s="239">
        <f t="shared" si="29"/>
        <v>79</v>
      </c>
      <c r="AE124" s="239" t="b">
        <f t="shared" si="30"/>
        <v>0</v>
      </c>
      <c r="AF124" s="239">
        <f t="shared" si="38"/>
        <v>79</v>
      </c>
      <c r="AG124" s="239">
        <f t="shared" si="26"/>
        <v>26.111111111111111</v>
      </c>
      <c r="AH124" s="239">
        <f t="shared" si="27"/>
        <v>100</v>
      </c>
      <c r="AI124" s="238">
        <f t="shared" si="31"/>
        <v>90.405798801320415</v>
      </c>
      <c r="AJ124" s="238">
        <f t="shared" si="32"/>
        <v>88</v>
      </c>
      <c r="AK124" s="238">
        <f t="shared" si="33"/>
        <v>88</v>
      </c>
      <c r="AL124" s="238"/>
      <c r="AM124" s="240">
        <f t="shared" si="34"/>
        <v>3.0126737691233873E-2</v>
      </c>
      <c r="AN124" s="238">
        <f t="shared" si="35"/>
        <v>30.701580896547647</v>
      </c>
      <c r="AO124" s="240">
        <f t="shared" si="36"/>
        <v>3.3323899673119044E-2</v>
      </c>
      <c r="AP124" s="238">
        <f t="shared" si="37"/>
        <v>33.75711036886959</v>
      </c>
    </row>
    <row r="125" spans="1:42" ht="22.2" x14ac:dyDescent="0.7">
      <c r="A125" s="118"/>
      <c r="B125" s="118"/>
      <c r="C125" s="118"/>
      <c r="D125" s="118"/>
      <c r="R125" s="220">
        <v>7</v>
      </c>
      <c r="S125" s="220">
        <v>26</v>
      </c>
      <c r="T125" s="220">
        <v>2</v>
      </c>
      <c r="U125" s="220">
        <f t="shared" si="20"/>
        <v>25.555555555555557</v>
      </c>
      <c r="V125" s="237">
        <f t="shared" si="28"/>
        <v>35637.083333333037</v>
      </c>
      <c r="W125" s="234">
        <v>78</v>
      </c>
      <c r="X125" s="234">
        <f t="shared" si="21"/>
        <v>25.555555555555557</v>
      </c>
      <c r="Y125" s="234">
        <v>91</v>
      </c>
      <c r="Z125" s="238">
        <f t="shared" si="22"/>
        <v>75.881775688564488</v>
      </c>
      <c r="AA125" s="238">
        <f t="shared" si="23"/>
        <v>24.378764271424735</v>
      </c>
      <c r="AB125" s="239">
        <f t="shared" si="24"/>
        <v>76.411331766423359</v>
      </c>
      <c r="AC125" s="239">
        <f t="shared" si="25"/>
        <v>24.672962092457443</v>
      </c>
      <c r="AD125" s="239">
        <f t="shared" si="29"/>
        <v>78</v>
      </c>
      <c r="AE125" s="239" t="b">
        <f t="shared" si="30"/>
        <v>0</v>
      </c>
      <c r="AF125" s="239">
        <f t="shared" si="38"/>
        <v>78</v>
      </c>
      <c r="AG125" s="239">
        <f t="shared" si="26"/>
        <v>25.555555555555557</v>
      </c>
      <c r="AH125" s="239">
        <f t="shared" si="27"/>
        <v>100</v>
      </c>
      <c r="AI125" s="238">
        <f t="shared" si="31"/>
        <v>92.825429994661562</v>
      </c>
      <c r="AJ125" s="238">
        <f t="shared" si="32"/>
        <v>91</v>
      </c>
      <c r="AK125" s="238">
        <f t="shared" si="33"/>
        <v>91</v>
      </c>
      <c r="AL125" s="238"/>
      <c r="AM125" s="240">
        <f t="shared" si="34"/>
        <v>2.9933801581416623E-2</v>
      </c>
      <c r="AN125" s="238">
        <f t="shared" si="35"/>
        <v>30.457683231086897</v>
      </c>
      <c r="AO125" s="240">
        <f t="shared" si="36"/>
        <v>3.2247414941291554E-2</v>
      </c>
      <c r="AP125" s="238">
        <f t="shared" si="37"/>
        <v>32.666631335528344</v>
      </c>
    </row>
    <row r="126" spans="1:42" ht="22.2" x14ac:dyDescent="0.7">
      <c r="A126" s="118"/>
      <c r="B126" s="118"/>
      <c r="C126" s="118"/>
      <c r="D126" s="118"/>
      <c r="R126" s="220">
        <v>7</v>
      </c>
      <c r="S126" s="220">
        <v>26</v>
      </c>
      <c r="T126" s="220">
        <v>3</v>
      </c>
      <c r="U126" s="220">
        <f t="shared" si="20"/>
        <v>25</v>
      </c>
      <c r="V126" s="237">
        <f t="shared" si="28"/>
        <v>35637.124999999702</v>
      </c>
      <c r="W126" s="234">
        <v>77</v>
      </c>
      <c r="X126" s="234">
        <f t="shared" si="21"/>
        <v>25</v>
      </c>
      <c r="Y126" s="234">
        <v>91</v>
      </c>
      <c r="Z126" s="238">
        <f t="shared" si="22"/>
        <v>74.894462309033202</v>
      </c>
      <c r="AA126" s="238">
        <f t="shared" si="23"/>
        <v>23.830256838351797</v>
      </c>
      <c r="AB126" s="239">
        <f t="shared" si="24"/>
        <v>75.420846731774901</v>
      </c>
      <c r="AC126" s="239">
        <f t="shared" si="25"/>
        <v>24.122692628763854</v>
      </c>
      <c r="AD126" s="239">
        <f t="shared" si="29"/>
        <v>77</v>
      </c>
      <c r="AE126" s="239" t="b">
        <f t="shared" si="30"/>
        <v>0</v>
      </c>
      <c r="AF126" s="239">
        <f t="shared" si="38"/>
        <v>77</v>
      </c>
      <c r="AG126" s="239">
        <f t="shared" si="26"/>
        <v>25</v>
      </c>
      <c r="AH126" s="239">
        <f t="shared" si="27"/>
        <v>100</v>
      </c>
      <c r="AI126" s="238">
        <f t="shared" si="31"/>
        <v>92.827415886717418</v>
      </c>
      <c r="AJ126" s="238">
        <f t="shared" si="32"/>
        <v>91</v>
      </c>
      <c r="AK126" s="238">
        <f t="shared" si="33"/>
        <v>91</v>
      </c>
      <c r="AL126" s="238"/>
      <c r="AM126" s="240">
        <f t="shared" si="34"/>
        <v>2.8963426307578234E-2</v>
      </c>
      <c r="AN126" s="238">
        <f t="shared" si="35"/>
        <v>29.473404745358618</v>
      </c>
      <c r="AO126" s="240">
        <f t="shared" si="36"/>
        <v>3.1201370878323226E-2</v>
      </c>
      <c r="AP126" s="238">
        <f t="shared" si="37"/>
        <v>31.606988699741429</v>
      </c>
    </row>
    <row r="127" spans="1:42" ht="22.2" x14ac:dyDescent="0.7">
      <c r="A127" s="118"/>
      <c r="B127" s="118"/>
      <c r="C127" s="118"/>
      <c r="D127" s="118"/>
      <c r="R127" s="220">
        <v>7</v>
      </c>
      <c r="S127" s="220">
        <v>26</v>
      </c>
      <c r="T127" s="220">
        <v>4</v>
      </c>
      <c r="U127" s="220">
        <f t="shared" si="20"/>
        <v>25</v>
      </c>
      <c r="V127" s="237">
        <f t="shared" si="28"/>
        <v>35637.166666666366</v>
      </c>
      <c r="W127" s="234">
        <v>77</v>
      </c>
      <c r="X127" s="234">
        <f t="shared" si="21"/>
        <v>25</v>
      </c>
      <c r="Y127" s="234">
        <v>91</v>
      </c>
      <c r="Z127" s="238">
        <f t="shared" si="22"/>
        <v>74.894462309033202</v>
      </c>
      <c r="AA127" s="238">
        <f t="shared" si="23"/>
        <v>23.830256838351797</v>
      </c>
      <c r="AB127" s="239">
        <f t="shared" si="24"/>
        <v>75.420846731774901</v>
      </c>
      <c r="AC127" s="239">
        <f t="shared" si="25"/>
        <v>24.122692628763854</v>
      </c>
      <c r="AD127" s="239">
        <f t="shared" si="29"/>
        <v>77</v>
      </c>
      <c r="AE127" s="239" t="b">
        <f t="shared" si="30"/>
        <v>0</v>
      </c>
      <c r="AF127" s="239">
        <f t="shared" si="38"/>
        <v>77</v>
      </c>
      <c r="AG127" s="239">
        <f t="shared" si="26"/>
        <v>25</v>
      </c>
      <c r="AH127" s="239">
        <f t="shared" si="27"/>
        <v>100</v>
      </c>
      <c r="AI127" s="238">
        <f t="shared" si="31"/>
        <v>92.827415886717418</v>
      </c>
      <c r="AJ127" s="238">
        <f t="shared" si="32"/>
        <v>91</v>
      </c>
      <c r="AK127" s="238">
        <f t="shared" si="33"/>
        <v>91</v>
      </c>
      <c r="AL127" s="238"/>
      <c r="AM127" s="240">
        <f t="shared" si="34"/>
        <v>2.8963426307578234E-2</v>
      </c>
      <c r="AN127" s="238">
        <f t="shared" si="35"/>
        <v>29.473404745358618</v>
      </c>
      <c r="AO127" s="240">
        <f t="shared" si="36"/>
        <v>3.1201370878323226E-2</v>
      </c>
      <c r="AP127" s="238">
        <f t="shared" si="37"/>
        <v>31.606988699741429</v>
      </c>
    </row>
    <row r="128" spans="1:42" ht="22.2" x14ac:dyDescent="0.7">
      <c r="A128" s="118"/>
      <c r="B128" s="118"/>
      <c r="C128" s="118"/>
      <c r="D128" s="118"/>
      <c r="R128" s="220">
        <v>7</v>
      </c>
      <c r="S128" s="220">
        <v>26</v>
      </c>
      <c r="T128" s="220">
        <v>5</v>
      </c>
      <c r="U128" s="220">
        <f t="shared" si="20"/>
        <v>24.444444444444443</v>
      </c>
      <c r="V128" s="237">
        <f t="shared" si="28"/>
        <v>35637.20833333303</v>
      </c>
      <c r="W128" s="234">
        <v>76</v>
      </c>
      <c r="X128" s="234">
        <f t="shared" si="21"/>
        <v>24.444444444444443</v>
      </c>
      <c r="Y128" s="234">
        <v>94</v>
      </c>
      <c r="Z128" s="238">
        <f t="shared" si="22"/>
        <v>74.63104710423832</v>
      </c>
      <c r="AA128" s="238">
        <f t="shared" si="23"/>
        <v>23.683915057910198</v>
      </c>
      <c r="AB128" s="239">
        <f t="shared" si="24"/>
        <v>74.973285328178747</v>
      </c>
      <c r="AC128" s="239">
        <f t="shared" si="25"/>
        <v>23.87404740454377</v>
      </c>
      <c r="AD128" s="239">
        <f t="shared" si="29"/>
        <v>76</v>
      </c>
      <c r="AE128" s="239" t="b">
        <f t="shared" si="30"/>
        <v>0</v>
      </c>
      <c r="AF128" s="239">
        <f t="shared" si="38"/>
        <v>76</v>
      </c>
      <c r="AG128" s="239">
        <f t="shared" si="26"/>
        <v>24.444444444444443</v>
      </c>
      <c r="AH128" s="239">
        <f t="shared" si="27"/>
        <v>100</v>
      </c>
      <c r="AI128" s="238">
        <f t="shared" si="31"/>
        <v>95.262494797251676</v>
      </c>
      <c r="AJ128" s="238">
        <f t="shared" si="32"/>
        <v>94</v>
      </c>
      <c r="AK128" s="238">
        <f t="shared" si="33"/>
        <v>94</v>
      </c>
      <c r="AL128" s="238"/>
      <c r="AM128" s="240">
        <f t="shared" si="34"/>
        <v>2.8755021420490322E-2</v>
      </c>
      <c r="AN128" s="238">
        <f t="shared" si="35"/>
        <v>29.215536920524222</v>
      </c>
      <c r="AO128" s="240">
        <f t="shared" si="36"/>
        <v>3.0185039224187846E-2</v>
      </c>
      <c r="AP128" s="238">
        <f t="shared" si="37"/>
        <v>30.577444734102286</v>
      </c>
    </row>
    <row r="129" spans="1:42" ht="22.2" x14ac:dyDescent="0.7">
      <c r="A129" s="118"/>
      <c r="B129" s="118"/>
      <c r="C129" s="118"/>
      <c r="D129" s="118"/>
      <c r="R129" s="220">
        <v>7</v>
      </c>
      <c r="S129" s="220">
        <v>26</v>
      </c>
      <c r="T129" s="220">
        <v>6</v>
      </c>
      <c r="U129" s="220">
        <f t="shared" si="20"/>
        <v>24.444444444444443</v>
      </c>
      <c r="V129" s="237">
        <f t="shared" si="28"/>
        <v>35637.249999999694</v>
      </c>
      <c r="W129" s="234">
        <v>76</v>
      </c>
      <c r="X129" s="234">
        <f t="shared" si="21"/>
        <v>24.444444444444443</v>
      </c>
      <c r="Y129" s="234">
        <v>94</v>
      </c>
      <c r="Z129" s="238">
        <f t="shared" si="22"/>
        <v>74.63104710423832</v>
      </c>
      <c r="AA129" s="238">
        <f t="shared" si="23"/>
        <v>23.683915057910198</v>
      </c>
      <c r="AB129" s="239">
        <f t="shared" si="24"/>
        <v>74.973285328178747</v>
      </c>
      <c r="AC129" s="239">
        <f t="shared" si="25"/>
        <v>23.87404740454377</v>
      </c>
      <c r="AD129" s="239">
        <f t="shared" si="29"/>
        <v>76</v>
      </c>
      <c r="AE129" s="239" t="b">
        <f t="shared" si="30"/>
        <v>0</v>
      </c>
      <c r="AF129" s="239">
        <f t="shared" si="38"/>
        <v>76</v>
      </c>
      <c r="AG129" s="239">
        <f t="shared" si="26"/>
        <v>24.444444444444443</v>
      </c>
      <c r="AH129" s="239">
        <f t="shared" si="27"/>
        <v>100</v>
      </c>
      <c r="AI129" s="238">
        <f t="shared" si="31"/>
        <v>95.262494797251676</v>
      </c>
      <c r="AJ129" s="238">
        <f t="shared" si="32"/>
        <v>94</v>
      </c>
      <c r="AK129" s="238">
        <f t="shared" si="33"/>
        <v>94</v>
      </c>
      <c r="AL129" s="238"/>
      <c r="AM129" s="240">
        <f t="shared" si="34"/>
        <v>2.8755021420490322E-2</v>
      </c>
      <c r="AN129" s="238">
        <f t="shared" si="35"/>
        <v>29.215536920524222</v>
      </c>
      <c r="AO129" s="240">
        <f t="shared" si="36"/>
        <v>3.0185039224187846E-2</v>
      </c>
      <c r="AP129" s="238">
        <f t="shared" si="37"/>
        <v>30.577444734102286</v>
      </c>
    </row>
    <row r="130" spans="1:42" ht="22.2" x14ac:dyDescent="0.7">
      <c r="A130" s="118"/>
      <c r="B130" s="118"/>
      <c r="C130" s="118"/>
      <c r="D130" s="118"/>
      <c r="R130" s="220">
        <v>7</v>
      </c>
      <c r="S130" s="220">
        <v>26</v>
      </c>
      <c r="T130" s="220">
        <v>7</v>
      </c>
      <c r="U130" s="220">
        <f t="shared" si="20"/>
        <v>26.111111111111111</v>
      </c>
      <c r="V130" s="237">
        <f t="shared" si="28"/>
        <v>35637.291666666359</v>
      </c>
      <c r="W130" s="234">
        <v>79</v>
      </c>
      <c r="X130" s="234">
        <f t="shared" si="21"/>
        <v>26.111111111111111</v>
      </c>
      <c r="Y130" s="234">
        <v>91</v>
      </c>
      <c r="Z130" s="238">
        <f t="shared" si="22"/>
        <v>76.869088366471686</v>
      </c>
      <c r="AA130" s="238">
        <f t="shared" si="23"/>
        <v>24.927271314706513</v>
      </c>
      <c r="AB130" s="239">
        <f t="shared" si="24"/>
        <v>77.401816274853758</v>
      </c>
      <c r="AC130" s="239">
        <f t="shared" si="25"/>
        <v>25.223231263807666</v>
      </c>
      <c r="AD130" s="239">
        <f t="shared" si="29"/>
        <v>79</v>
      </c>
      <c r="AE130" s="239" t="b">
        <f t="shared" si="30"/>
        <v>0</v>
      </c>
      <c r="AF130" s="239">
        <f t="shared" si="38"/>
        <v>79</v>
      </c>
      <c r="AG130" s="239">
        <f t="shared" si="26"/>
        <v>26.111111111111111</v>
      </c>
      <c r="AH130" s="239">
        <f t="shared" si="27"/>
        <v>100</v>
      </c>
      <c r="AI130" s="238">
        <f t="shared" si="31"/>
        <v>92.823295500784482</v>
      </c>
      <c r="AJ130" s="238">
        <f t="shared" si="32"/>
        <v>91</v>
      </c>
      <c r="AK130" s="238">
        <f t="shared" si="33"/>
        <v>91</v>
      </c>
      <c r="AL130" s="238"/>
      <c r="AM130" s="240">
        <f t="shared" si="34"/>
        <v>3.0932341865964247E-2</v>
      </c>
      <c r="AN130" s="238">
        <f t="shared" si="35"/>
        <v>31.470512856539923</v>
      </c>
      <c r="AO130" s="240">
        <f t="shared" si="36"/>
        <v>3.3323899673119044E-2</v>
      </c>
      <c r="AP130" s="238">
        <f t="shared" si="37"/>
        <v>33.75711036886959</v>
      </c>
    </row>
    <row r="131" spans="1:42" ht="22.2" x14ac:dyDescent="0.7">
      <c r="A131" s="118"/>
      <c r="B131" s="118"/>
      <c r="C131" s="118"/>
      <c r="D131" s="118"/>
      <c r="R131" s="220">
        <v>7</v>
      </c>
      <c r="S131" s="220">
        <v>26</v>
      </c>
      <c r="T131" s="220">
        <v>8</v>
      </c>
      <c r="U131" s="220">
        <f t="shared" si="20"/>
        <v>28.888888888888889</v>
      </c>
      <c r="V131" s="237">
        <f t="shared" si="28"/>
        <v>35637.333333333023</v>
      </c>
      <c r="W131" s="234">
        <v>84</v>
      </c>
      <c r="X131" s="234">
        <f t="shared" si="21"/>
        <v>28.888888888888889</v>
      </c>
      <c r="Y131" s="234">
        <v>80</v>
      </c>
      <c r="Z131" s="238">
        <f t="shared" si="22"/>
        <v>78.913375719490261</v>
      </c>
      <c r="AA131" s="238">
        <f t="shared" si="23"/>
        <v>26.062986510827944</v>
      </c>
      <c r="AB131" s="239">
        <f t="shared" si="24"/>
        <v>80.185031789617696</v>
      </c>
      <c r="AC131" s="239">
        <f t="shared" si="25"/>
        <v>26.769462105343187</v>
      </c>
      <c r="AD131" s="239">
        <f t="shared" si="29"/>
        <v>84</v>
      </c>
      <c r="AE131" s="239" t="b">
        <f t="shared" si="30"/>
        <v>0</v>
      </c>
      <c r="AF131" s="239">
        <f t="shared" si="38"/>
        <v>84</v>
      </c>
      <c r="AG131" s="239">
        <f t="shared" si="26"/>
        <v>28.888888888888889</v>
      </c>
      <c r="AH131" s="239">
        <f t="shared" si="27"/>
        <v>100</v>
      </c>
      <c r="AI131" s="238">
        <f t="shared" si="31"/>
        <v>83.967815240688765</v>
      </c>
      <c r="AJ131" s="238">
        <f t="shared" si="32"/>
        <v>80</v>
      </c>
      <c r="AK131" s="238">
        <f t="shared" si="33"/>
        <v>80</v>
      </c>
      <c r="AL131" s="238"/>
      <c r="AM131" s="240">
        <f t="shared" si="34"/>
        <v>3.2906498050641046E-2</v>
      </c>
      <c r="AN131" s="238">
        <f t="shared" si="35"/>
        <v>33.661409636420743</v>
      </c>
      <c r="AO131" s="240">
        <f t="shared" si="36"/>
        <v>3.9189417941048625E-2</v>
      </c>
      <c r="AP131" s="238">
        <f t="shared" si="37"/>
        <v>39.698880374282254</v>
      </c>
    </row>
    <row r="132" spans="1:42" ht="22.2" x14ac:dyDescent="0.7">
      <c r="A132" s="118"/>
      <c r="B132" s="118"/>
      <c r="C132" s="118"/>
      <c r="D132" s="118"/>
      <c r="R132" s="220">
        <v>7</v>
      </c>
      <c r="S132" s="220">
        <v>26</v>
      </c>
      <c r="T132" s="220">
        <v>9</v>
      </c>
      <c r="U132" s="220">
        <f t="shared" ref="U132:U195" si="39">+(W132-32)*5/9</f>
        <v>30.555555555555557</v>
      </c>
      <c r="V132" s="237">
        <f t="shared" si="28"/>
        <v>35637.374999999687</v>
      </c>
      <c r="W132" s="234">
        <v>87</v>
      </c>
      <c r="X132" s="234">
        <f t="shared" ref="X132:X195" si="40">+(W132-32)*5/9</f>
        <v>30.555555555555557</v>
      </c>
      <c r="Y132" s="234">
        <v>72</v>
      </c>
      <c r="Z132" s="238">
        <f t="shared" ref="Z132:Z195" si="41">(X132*ATAN(0.151977*(Y132+8.313659)^0.5)+ATAN(X132+Y132)-ATAN(Y132-1.676331)+0.00391838*(Y132)^1.5*ATAN(0.023101*Y132)-4.686035)*9/5+32</f>
        <v>79.570049132260351</v>
      </c>
      <c r="AA132" s="238">
        <f t="shared" ref="AA132:AA195" si="42">+(Z132-32)*0.555555555555556</f>
        <v>26.427805073477995</v>
      </c>
      <c r="AB132" s="239">
        <f t="shared" ref="AB132:AB195" si="43">-(W132-Z132)*0.75+W132</f>
        <v>81.427536849195263</v>
      </c>
      <c r="AC132" s="239">
        <f t="shared" ref="AC132:AC195" si="44">+(AB132-32)*0.555555555555556</f>
        <v>27.459742693997391</v>
      </c>
      <c r="AD132" s="239">
        <f t="shared" si="29"/>
        <v>87</v>
      </c>
      <c r="AE132" s="239" t="b">
        <f t="shared" si="30"/>
        <v>0</v>
      </c>
      <c r="AF132" s="239">
        <f t="shared" si="38"/>
        <v>87</v>
      </c>
      <c r="AG132" s="239">
        <f t="shared" ref="AG132:AG195" si="45">+(AF132-32)*5/9</f>
        <v>30.555555555555557</v>
      </c>
      <c r="AH132" s="239">
        <f t="shared" ref="AH132:AH195" si="46">+$H$4</f>
        <v>100</v>
      </c>
      <c r="AI132" s="238">
        <f t="shared" si="31"/>
        <v>77.634155040759794</v>
      </c>
      <c r="AJ132" s="238">
        <f t="shared" si="32"/>
        <v>72</v>
      </c>
      <c r="AK132" s="238">
        <f t="shared" si="33"/>
        <v>72</v>
      </c>
      <c r="AL132" s="238"/>
      <c r="AM132" s="240">
        <f t="shared" si="34"/>
        <v>3.3478769041935523E-2</v>
      </c>
      <c r="AN132" s="238">
        <f t="shared" si="35"/>
        <v>34.392824055502274</v>
      </c>
      <c r="AO132" s="240">
        <f t="shared" si="36"/>
        <v>4.3123763019457563E-2</v>
      </c>
      <c r="AP132" s="238">
        <f t="shared" si="37"/>
        <v>43.684371938710512</v>
      </c>
    </row>
    <row r="133" spans="1:42" ht="22.2" x14ac:dyDescent="0.7">
      <c r="A133" s="118"/>
      <c r="B133" s="118"/>
      <c r="C133" s="118"/>
      <c r="D133" s="118"/>
      <c r="R133" s="220">
        <v>7</v>
      </c>
      <c r="S133" s="220">
        <v>26</v>
      </c>
      <c r="T133" s="220">
        <v>10</v>
      </c>
      <c r="U133" s="220">
        <f t="shared" si="39"/>
        <v>32.222222222222221</v>
      </c>
      <c r="V133" s="237">
        <f t="shared" ref="V133:V196" si="47">+V132+1/24</f>
        <v>35637.416666666351</v>
      </c>
      <c r="W133" s="234">
        <v>90</v>
      </c>
      <c r="X133" s="234">
        <f t="shared" si="40"/>
        <v>32.222222222222221</v>
      </c>
      <c r="Y133" s="234">
        <v>66</v>
      </c>
      <c r="Z133" s="238">
        <f t="shared" si="41"/>
        <v>80.612919968047009</v>
      </c>
      <c r="AA133" s="238">
        <f t="shared" si="42"/>
        <v>27.007177760026138</v>
      </c>
      <c r="AB133" s="239">
        <f t="shared" si="43"/>
        <v>82.959689976035264</v>
      </c>
      <c r="AC133" s="239">
        <f t="shared" si="44"/>
        <v>28.310938875575172</v>
      </c>
      <c r="AD133" s="239">
        <f t="shared" ref="AD133:AD196" si="48">+IF(W133&gt;=$H$4,AB133,W133)</f>
        <v>90</v>
      </c>
      <c r="AE133" s="239" t="b">
        <f t="shared" ref="AE133:AE196" si="49">+AND(AD133&lt;W133,$H$4&gt;=AD133)</f>
        <v>0</v>
      </c>
      <c r="AF133" s="239">
        <f t="shared" si="38"/>
        <v>90</v>
      </c>
      <c r="AG133" s="239">
        <f t="shared" si="45"/>
        <v>32.222222222222221</v>
      </c>
      <c r="AH133" s="239">
        <f t="shared" si="46"/>
        <v>100</v>
      </c>
      <c r="AI133" s="238">
        <f t="shared" ref="AI133:AI196" si="50">+AM133/AO133*100</f>
        <v>72.845727826628263</v>
      </c>
      <c r="AJ133" s="238">
        <f t="shared" ref="AJ133:AJ196" si="51">+Y133</f>
        <v>66</v>
      </c>
      <c r="AK133" s="238">
        <f t="shared" ref="AK133:AK196" si="52">+IF(W133&gt;=AH133,AI133,AJ133)</f>
        <v>66</v>
      </c>
      <c r="AL133" s="238"/>
      <c r="AM133" s="240">
        <f t="shared" ref="AM133:AM196" si="53">+((AC133-AA133)*1.005-2500*(AN133/1013))/(-(AC133-AA133)*4.186-2500)</f>
        <v>3.4526733380962203E-2</v>
      </c>
      <c r="AN133" s="238">
        <f t="shared" ref="AN133:AN196" si="54">6.11*10^(7.5*AA133/(237.7+AA133))</f>
        <v>35.582858648078101</v>
      </c>
      <c r="AO133" s="240">
        <f t="shared" ref="AO133:AO196" si="55">+AP133/1013</f>
        <v>4.7397060076241275E-2</v>
      </c>
      <c r="AP133" s="238">
        <f t="shared" ref="AP133:AP196" si="56">6.11*10^(7.5*AG133/(237.7+AG133))</f>
        <v>48.013221857232409</v>
      </c>
    </row>
    <row r="134" spans="1:42" ht="22.2" x14ac:dyDescent="0.7">
      <c r="A134" s="118"/>
      <c r="B134" s="118"/>
      <c r="C134" s="118"/>
      <c r="D134" s="118"/>
      <c r="R134" s="220">
        <v>7</v>
      </c>
      <c r="S134" s="220">
        <v>26</v>
      </c>
      <c r="T134" s="220">
        <v>11</v>
      </c>
      <c r="U134" s="220">
        <f t="shared" si="39"/>
        <v>33.333333333333336</v>
      </c>
      <c r="V134" s="237">
        <f t="shared" si="47"/>
        <v>35637.458333333016</v>
      </c>
      <c r="W134" s="234">
        <v>92</v>
      </c>
      <c r="X134" s="234">
        <f t="shared" si="40"/>
        <v>33.333333333333336</v>
      </c>
      <c r="Y134" s="234">
        <v>62</v>
      </c>
      <c r="Z134" s="238">
        <f t="shared" si="41"/>
        <v>81.213375466864392</v>
      </c>
      <c r="AA134" s="238">
        <f t="shared" si="42"/>
        <v>27.340764148258017</v>
      </c>
      <c r="AB134" s="239">
        <f t="shared" si="43"/>
        <v>83.910031600148301</v>
      </c>
      <c r="AC134" s="239">
        <f t="shared" si="44"/>
        <v>28.838906444526859</v>
      </c>
      <c r="AD134" s="239">
        <f t="shared" si="48"/>
        <v>92</v>
      </c>
      <c r="AE134" s="239" t="b">
        <f t="shared" si="49"/>
        <v>0</v>
      </c>
      <c r="AF134" s="239">
        <f t="shared" si="38"/>
        <v>92</v>
      </c>
      <c r="AG134" s="239">
        <f t="shared" si="45"/>
        <v>33.333333333333336</v>
      </c>
      <c r="AH134" s="239">
        <f t="shared" si="46"/>
        <v>100</v>
      </c>
      <c r="AI134" s="238">
        <f t="shared" si="50"/>
        <v>69.635076190461604</v>
      </c>
      <c r="AJ134" s="238">
        <f t="shared" si="51"/>
        <v>62</v>
      </c>
      <c r="AK134" s="238">
        <f t="shared" si="52"/>
        <v>62</v>
      </c>
      <c r="AL134" s="238"/>
      <c r="AM134" s="240">
        <f t="shared" si="53"/>
        <v>3.5128175130894244E-2</v>
      </c>
      <c r="AN134" s="238">
        <f t="shared" si="54"/>
        <v>36.284188101974024</v>
      </c>
      <c r="AO134" s="240">
        <f t="shared" si="55"/>
        <v>5.0446092763385228E-2</v>
      </c>
      <c r="AP134" s="238">
        <f t="shared" si="56"/>
        <v>51.101891969309236</v>
      </c>
    </row>
    <row r="135" spans="1:42" ht="22.2" x14ac:dyDescent="0.7">
      <c r="A135" s="118"/>
      <c r="B135" s="118"/>
      <c r="C135" s="118"/>
      <c r="D135" s="118"/>
      <c r="R135" s="220">
        <v>7</v>
      </c>
      <c r="S135" s="220">
        <v>26</v>
      </c>
      <c r="T135" s="220">
        <v>12</v>
      </c>
      <c r="U135" s="220">
        <f t="shared" si="39"/>
        <v>33.888888888888886</v>
      </c>
      <c r="V135" s="237">
        <f t="shared" si="47"/>
        <v>35637.49999999968</v>
      </c>
      <c r="W135" s="234">
        <v>93</v>
      </c>
      <c r="X135" s="234">
        <f t="shared" si="40"/>
        <v>33.888888888888886</v>
      </c>
      <c r="Y135" s="234">
        <v>60</v>
      </c>
      <c r="Z135" s="238">
        <f t="shared" si="41"/>
        <v>81.481821765078138</v>
      </c>
      <c r="AA135" s="238">
        <f t="shared" si="42"/>
        <v>27.489900980598989</v>
      </c>
      <c r="AB135" s="239">
        <f t="shared" si="43"/>
        <v>84.361366323808596</v>
      </c>
      <c r="AC135" s="239">
        <f t="shared" si="44"/>
        <v>29.089647957671467</v>
      </c>
      <c r="AD135" s="239">
        <f t="shared" si="48"/>
        <v>93</v>
      </c>
      <c r="AE135" s="239" t="b">
        <f t="shared" si="49"/>
        <v>0</v>
      </c>
      <c r="AF135" s="239">
        <f t="shared" si="38"/>
        <v>93</v>
      </c>
      <c r="AG135" s="239">
        <f t="shared" si="45"/>
        <v>33.888888888888886</v>
      </c>
      <c r="AH135" s="239">
        <f t="shared" si="46"/>
        <v>100</v>
      </c>
      <c r="AI135" s="238">
        <f t="shared" si="50"/>
        <v>68.0216181237667</v>
      </c>
      <c r="AJ135" s="238">
        <f t="shared" si="51"/>
        <v>60</v>
      </c>
      <c r="AK135" s="238">
        <f t="shared" si="52"/>
        <v>60</v>
      </c>
      <c r="AL135" s="238"/>
      <c r="AM135" s="240">
        <f t="shared" si="53"/>
        <v>3.5393986310544169E-2</v>
      </c>
      <c r="AN135" s="238">
        <f t="shared" si="54"/>
        <v>36.60160609490962</v>
      </c>
      <c r="AO135" s="240">
        <f t="shared" si="55"/>
        <v>5.2033437731728312E-2</v>
      </c>
      <c r="AP135" s="238">
        <f t="shared" si="56"/>
        <v>52.709872422240778</v>
      </c>
    </row>
    <row r="136" spans="1:42" ht="22.2" x14ac:dyDescent="0.7">
      <c r="A136" s="118"/>
      <c r="B136" s="118"/>
      <c r="C136" s="118"/>
      <c r="D136" s="118"/>
      <c r="R136" s="220">
        <v>7</v>
      </c>
      <c r="S136" s="220">
        <v>26</v>
      </c>
      <c r="T136" s="220">
        <v>13</v>
      </c>
      <c r="U136" s="220">
        <f t="shared" si="39"/>
        <v>33.888888888888886</v>
      </c>
      <c r="V136" s="237">
        <f t="shared" si="47"/>
        <v>35637.541666666344</v>
      </c>
      <c r="W136" s="234">
        <v>93</v>
      </c>
      <c r="X136" s="234">
        <f t="shared" si="40"/>
        <v>33.888888888888886</v>
      </c>
      <c r="Y136" s="234">
        <v>56</v>
      </c>
      <c r="Z136" s="238">
        <f t="shared" si="41"/>
        <v>80.181041609497072</v>
      </c>
      <c r="AA136" s="238">
        <f t="shared" si="42"/>
        <v>26.767245338609506</v>
      </c>
      <c r="AB136" s="239">
        <f t="shared" si="43"/>
        <v>83.385781207122804</v>
      </c>
      <c r="AC136" s="239">
        <f t="shared" si="44"/>
        <v>28.54765622617936</v>
      </c>
      <c r="AD136" s="239">
        <f t="shared" si="48"/>
        <v>93</v>
      </c>
      <c r="AE136" s="239" t="b">
        <f t="shared" si="49"/>
        <v>0</v>
      </c>
      <c r="AF136" s="239">
        <f t="shared" si="38"/>
        <v>93</v>
      </c>
      <c r="AG136" s="239">
        <f t="shared" si="45"/>
        <v>33.888888888888886</v>
      </c>
      <c r="AH136" s="239">
        <f t="shared" si="46"/>
        <v>100</v>
      </c>
      <c r="AI136" s="238">
        <f t="shared" si="50"/>
        <v>64.994648860764499</v>
      </c>
      <c r="AJ136" s="238">
        <f t="shared" si="51"/>
        <v>56</v>
      </c>
      <c r="AK136" s="238">
        <f t="shared" si="52"/>
        <v>56</v>
      </c>
      <c r="AL136" s="238"/>
      <c r="AM136" s="240">
        <f t="shared" si="53"/>
        <v>3.3818950143921361E-2</v>
      </c>
      <c r="AN136" s="238">
        <f t="shared" si="54"/>
        <v>35.085755086741834</v>
      </c>
      <c r="AO136" s="240">
        <f t="shared" si="55"/>
        <v>5.2033437731728312E-2</v>
      </c>
      <c r="AP136" s="238">
        <f t="shared" si="56"/>
        <v>52.709872422240778</v>
      </c>
    </row>
    <row r="137" spans="1:42" ht="22.2" x14ac:dyDescent="0.7">
      <c r="A137" s="118"/>
      <c r="B137" s="118"/>
      <c r="C137" s="118"/>
      <c r="D137" s="118"/>
      <c r="R137" s="220">
        <v>7</v>
      </c>
      <c r="S137" s="220">
        <v>26</v>
      </c>
      <c r="T137" s="220">
        <v>14</v>
      </c>
      <c r="U137" s="220">
        <f t="shared" si="39"/>
        <v>35</v>
      </c>
      <c r="V137" s="237">
        <f t="shared" si="47"/>
        <v>35637.583333333008</v>
      </c>
      <c r="W137" s="234">
        <v>95</v>
      </c>
      <c r="X137" s="234">
        <f t="shared" si="40"/>
        <v>35</v>
      </c>
      <c r="Y137" s="234">
        <v>53</v>
      </c>
      <c r="Z137" s="238">
        <f t="shared" si="41"/>
        <v>80.923562965539361</v>
      </c>
      <c r="AA137" s="238">
        <f t="shared" si="42"/>
        <v>27.179757203077447</v>
      </c>
      <c r="AB137" s="239">
        <f t="shared" si="43"/>
        <v>84.442672224154521</v>
      </c>
      <c r="AC137" s="239">
        <f t="shared" si="44"/>
        <v>29.134817902308093</v>
      </c>
      <c r="AD137" s="239">
        <f t="shared" si="48"/>
        <v>95</v>
      </c>
      <c r="AE137" s="239" t="b">
        <f t="shared" si="49"/>
        <v>0</v>
      </c>
      <c r="AF137" s="239">
        <f t="shared" si="38"/>
        <v>95</v>
      </c>
      <c r="AG137" s="239">
        <f t="shared" si="45"/>
        <v>35</v>
      </c>
      <c r="AH137" s="239">
        <f t="shared" si="46"/>
        <v>100</v>
      </c>
      <c r="AI137" s="238">
        <f t="shared" si="50"/>
        <v>62.494871481693423</v>
      </c>
      <c r="AJ137" s="238">
        <f t="shared" si="51"/>
        <v>53</v>
      </c>
      <c r="AK137" s="238">
        <f t="shared" si="52"/>
        <v>53</v>
      </c>
      <c r="AL137" s="238"/>
      <c r="AM137" s="240">
        <f t="shared" si="53"/>
        <v>3.4583775537867525E-2</v>
      </c>
      <c r="AN137" s="238">
        <f t="shared" si="54"/>
        <v>35.944199766255032</v>
      </c>
      <c r="AO137" s="240">
        <f t="shared" si="55"/>
        <v>5.5338581739460213E-2</v>
      </c>
      <c r="AP137" s="238">
        <f t="shared" si="56"/>
        <v>56.057983302073197</v>
      </c>
    </row>
    <row r="138" spans="1:42" ht="22.2" x14ac:dyDescent="0.7">
      <c r="A138" s="118"/>
      <c r="B138" s="118"/>
      <c r="C138" s="118"/>
      <c r="D138" s="118"/>
      <c r="R138" s="220">
        <v>7</v>
      </c>
      <c r="S138" s="220">
        <v>26</v>
      </c>
      <c r="T138" s="220">
        <v>15</v>
      </c>
      <c r="U138" s="220">
        <f t="shared" si="39"/>
        <v>35</v>
      </c>
      <c r="V138" s="237">
        <f t="shared" si="47"/>
        <v>35637.624999999673</v>
      </c>
      <c r="W138" s="234">
        <v>95</v>
      </c>
      <c r="X138" s="234">
        <f t="shared" si="40"/>
        <v>35</v>
      </c>
      <c r="Y138" s="234">
        <v>51</v>
      </c>
      <c r="Z138" s="238">
        <f t="shared" si="41"/>
        <v>80.22552562854024</v>
      </c>
      <c r="AA138" s="238">
        <f t="shared" si="42"/>
        <v>26.791958682522377</v>
      </c>
      <c r="AB138" s="239">
        <f t="shared" si="43"/>
        <v>83.919144221405176</v>
      </c>
      <c r="AC138" s="239">
        <f t="shared" si="44"/>
        <v>28.84396901189179</v>
      </c>
      <c r="AD138" s="239">
        <f t="shared" si="48"/>
        <v>95</v>
      </c>
      <c r="AE138" s="239" t="b">
        <f t="shared" si="49"/>
        <v>0</v>
      </c>
      <c r="AF138" s="239">
        <f t="shared" si="38"/>
        <v>95</v>
      </c>
      <c r="AG138" s="239">
        <f t="shared" si="45"/>
        <v>35</v>
      </c>
      <c r="AH138" s="239">
        <f t="shared" si="46"/>
        <v>100</v>
      </c>
      <c r="AI138" s="238">
        <f t="shared" si="50"/>
        <v>60.978992524114226</v>
      </c>
      <c r="AJ138" s="238">
        <f t="shared" si="51"/>
        <v>51</v>
      </c>
      <c r="AK138" s="238">
        <f t="shared" si="52"/>
        <v>51</v>
      </c>
      <c r="AL138" s="238"/>
      <c r="AM138" s="240">
        <f t="shared" si="53"/>
        <v>3.3744909621856285E-2</v>
      </c>
      <c r="AN138" s="238">
        <f t="shared" si="54"/>
        <v>35.136676338746639</v>
      </c>
      <c r="AO138" s="240">
        <f t="shared" si="55"/>
        <v>5.5338581739460213E-2</v>
      </c>
      <c r="AP138" s="238">
        <f t="shared" si="56"/>
        <v>56.057983302073197</v>
      </c>
    </row>
    <row r="139" spans="1:42" ht="22.2" x14ac:dyDescent="0.7">
      <c r="A139" s="118"/>
      <c r="B139" s="118"/>
      <c r="C139" s="118"/>
      <c r="D139" s="118"/>
      <c r="R139" s="220">
        <v>7</v>
      </c>
      <c r="S139" s="220">
        <v>26</v>
      </c>
      <c r="T139" s="220">
        <v>16</v>
      </c>
      <c r="U139" s="220">
        <f t="shared" si="39"/>
        <v>35.555555555555557</v>
      </c>
      <c r="V139" s="237">
        <f t="shared" si="47"/>
        <v>35637.666666666337</v>
      </c>
      <c r="W139" s="234">
        <v>96</v>
      </c>
      <c r="X139" s="234">
        <f t="shared" si="40"/>
        <v>35.555555555555557</v>
      </c>
      <c r="Y139" s="234">
        <v>49</v>
      </c>
      <c r="Z139" s="238">
        <f t="shared" si="41"/>
        <v>80.370091005331943</v>
      </c>
      <c r="AA139" s="238">
        <f t="shared" si="42"/>
        <v>26.872272780739991</v>
      </c>
      <c r="AB139" s="239">
        <f t="shared" si="43"/>
        <v>84.277568253998965</v>
      </c>
      <c r="AC139" s="239">
        <f t="shared" si="44"/>
        <v>29.043093474443893</v>
      </c>
      <c r="AD139" s="239">
        <f t="shared" si="48"/>
        <v>96</v>
      </c>
      <c r="AE139" s="239" t="b">
        <f t="shared" si="49"/>
        <v>0</v>
      </c>
      <c r="AF139" s="239">
        <f t="shared" si="38"/>
        <v>96</v>
      </c>
      <c r="AG139" s="239">
        <f t="shared" si="45"/>
        <v>35.555555555555557</v>
      </c>
      <c r="AH139" s="239">
        <f t="shared" si="46"/>
        <v>100</v>
      </c>
      <c r="AI139" s="238">
        <f t="shared" si="50"/>
        <v>59.331963248797869</v>
      </c>
      <c r="AJ139" s="238">
        <f t="shared" si="51"/>
        <v>49</v>
      </c>
      <c r="AK139" s="238">
        <f t="shared" si="52"/>
        <v>49</v>
      </c>
      <c r="AL139" s="238"/>
      <c r="AM139" s="240">
        <f t="shared" si="53"/>
        <v>3.3853839552751057E-2</v>
      </c>
      <c r="AN139" s="238">
        <f t="shared" si="54"/>
        <v>35.302606466206292</v>
      </c>
      <c r="AO139" s="240">
        <f t="shared" si="55"/>
        <v>5.7058350506271123E-2</v>
      </c>
      <c r="AP139" s="238">
        <f t="shared" si="56"/>
        <v>57.800109062852648</v>
      </c>
    </row>
    <row r="140" spans="1:42" ht="22.2" x14ac:dyDescent="0.7">
      <c r="A140" s="118"/>
      <c r="B140" s="118"/>
      <c r="C140" s="118"/>
      <c r="D140" s="118"/>
      <c r="R140" s="220">
        <v>7</v>
      </c>
      <c r="S140" s="220">
        <v>26</v>
      </c>
      <c r="T140" s="220">
        <v>17</v>
      </c>
      <c r="U140" s="220">
        <f t="shared" si="39"/>
        <v>35</v>
      </c>
      <c r="V140" s="237">
        <f t="shared" si="47"/>
        <v>35637.708333333001</v>
      </c>
      <c r="W140" s="234">
        <v>95</v>
      </c>
      <c r="X140" s="234">
        <f t="shared" si="40"/>
        <v>35</v>
      </c>
      <c r="Y140" s="234">
        <v>51</v>
      </c>
      <c r="Z140" s="238">
        <f t="shared" si="41"/>
        <v>80.22552562854024</v>
      </c>
      <c r="AA140" s="238">
        <f t="shared" si="42"/>
        <v>26.791958682522377</v>
      </c>
      <c r="AB140" s="239">
        <f t="shared" si="43"/>
        <v>83.919144221405176</v>
      </c>
      <c r="AC140" s="239">
        <f t="shared" si="44"/>
        <v>28.84396901189179</v>
      </c>
      <c r="AD140" s="239">
        <f t="shared" si="48"/>
        <v>95</v>
      </c>
      <c r="AE140" s="239" t="b">
        <f t="shared" si="49"/>
        <v>0</v>
      </c>
      <c r="AF140" s="239">
        <f t="shared" si="38"/>
        <v>95</v>
      </c>
      <c r="AG140" s="239">
        <f t="shared" si="45"/>
        <v>35</v>
      </c>
      <c r="AH140" s="239">
        <f t="shared" si="46"/>
        <v>100</v>
      </c>
      <c r="AI140" s="238">
        <f t="shared" si="50"/>
        <v>60.978992524114226</v>
      </c>
      <c r="AJ140" s="238">
        <f t="shared" si="51"/>
        <v>51</v>
      </c>
      <c r="AK140" s="238">
        <f t="shared" si="52"/>
        <v>51</v>
      </c>
      <c r="AL140" s="238"/>
      <c r="AM140" s="240">
        <f t="shared" si="53"/>
        <v>3.3744909621856285E-2</v>
      </c>
      <c r="AN140" s="238">
        <f t="shared" si="54"/>
        <v>35.136676338746639</v>
      </c>
      <c r="AO140" s="240">
        <f t="shared" si="55"/>
        <v>5.5338581739460213E-2</v>
      </c>
      <c r="AP140" s="238">
        <f t="shared" si="56"/>
        <v>56.057983302073197</v>
      </c>
    </row>
    <row r="141" spans="1:42" ht="22.2" x14ac:dyDescent="0.7">
      <c r="A141" s="118"/>
      <c r="B141" s="118"/>
      <c r="C141" s="118"/>
      <c r="D141" s="118"/>
      <c r="R141" s="220">
        <v>7</v>
      </c>
      <c r="S141" s="220">
        <v>26</v>
      </c>
      <c r="T141" s="220">
        <v>18</v>
      </c>
      <c r="U141" s="220">
        <f t="shared" si="39"/>
        <v>33.888888888888886</v>
      </c>
      <c r="V141" s="237">
        <f t="shared" si="47"/>
        <v>35637.749999999665</v>
      </c>
      <c r="W141" s="234">
        <v>93</v>
      </c>
      <c r="X141" s="234">
        <f t="shared" si="40"/>
        <v>33.888888888888886</v>
      </c>
      <c r="Y141" s="234">
        <v>56</v>
      </c>
      <c r="Z141" s="238">
        <f t="shared" si="41"/>
        <v>80.181041609497072</v>
      </c>
      <c r="AA141" s="238">
        <f t="shared" si="42"/>
        <v>26.767245338609506</v>
      </c>
      <c r="AB141" s="239">
        <f t="shared" si="43"/>
        <v>83.385781207122804</v>
      </c>
      <c r="AC141" s="239">
        <f t="shared" si="44"/>
        <v>28.54765622617936</v>
      </c>
      <c r="AD141" s="239">
        <f t="shared" si="48"/>
        <v>93</v>
      </c>
      <c r="AE141" s="239" t="b">
        <f t="shared" si="49"/>
        <v>0</v>
      </c>
      <c r="AF141" s="239">
        <f t="shared" si="38"/>
        <v>93</v>
      </c>
      <c r="AG141" s="239">
        <f t="shared" si="45"/>
        <v>33.888888888888886</v>
      </c>
      <c r="AH141" s="239">
        <f t="shared" si="46"/>
        <v>100</v>
      </c>
      <c r="AI141" s="238">
        <f t="shared" si="50"/>
        <v>64.994648860764499</v>
      </c>
      <c r="AJ141" s="238">
        <f t="shared" si="51"/>
        <v>56</v>
      </c>
      <c r="AK141" s="238">
        <f t="shared" si="52"/>
        <v>56</v>
      </c>
      <c r="AL141" s="238"/>
      <c r="AM141" s="240">
        <f t="shared" si="53"/>
        <v>3.3818950143921361E-2</v>
      </c>
      <c r="AN141" s="238">
        <f t="shared" si="54"/>
        <v>35.085755086741834</v>
      </c>
      <c r="AO141" s="240">
        <f t="shared" si="55"/>
        <v>5.2033437731728312E-2</v>
      </c>
      <c r="AP141" s="238">
        <f t="shared" si="56"/>
        <v>52.709872422240778</v>
      </c>
    </row>
    <row r="142" spans="1:42" ht="22.2" x14ac:dyDescent="0.7">
      <c r="A142" s="118"/>
      <c r="B142" s="118"/>
      <c r="C142" s="118"/>
      <c r="D142" s="118"/>
      <c r="R142" s="220">
        <v>7</v>
      </c>
      <c r="S142" s="220">
        <v>26</v>
      </c>
      <c r="T142" s="220">
        <v>19</v>
      </c>
      <c r="U142" s="220">
        <f t="shared" si="39"/>
        <v>32.222222222222221</v>
      </c>
      <c r="V142" s="237">
        <f t="shared" si="47"/>
        <v>35637.79166666633</v>
      </c>
      <c r="W142" s="234">
        <v>90</v>
      </c>
      <c r="X142" s="234">
        <f t="shared" si="40"/>
        <v>32.222222222222221</v>
      </c>
      <c r="Y142" s="234">
        <v>64</v>
      </c>
      <c r="Z142" s="238">
        <f t="shared" si="41"/>
        <v>80.010979509596922</v>
      </c>
      <c r="AA142" s="238">
        <f t="shared" si="42"/>
        <v>26.672766394220535</v>
      </c>
      <c r="AB142" s="239">
        <f t="shared" si="43"/>
        <v>82.508234632197684</v>
      </c>
      <c r="AC142" s="239">
        <f t="shared" si="44"/>
        <v>28.060130351220959</v>
      </c>
      <c r="AD142" s="239">
        <f t="shared" si="48"/>
        <v>90</v>
      </c>
      <c r="AE142" s="239" t="b">
        <f t="shared" si="49"/>
        <v>0</v>
      </c>
      <c r="AF142" s="239">
        <f t="shared" ref="AF142:AF205" si="57">+IF(AE142=TRUE,$H$4,AD142)</f>
        <v>90</v>
      </c>
      <c r="AG142" s="239">
        <f t="shared" si="45"/>
        <v>32.222222222222221</v>
      </c>
      <c r="AH142" s="239">
        <f t="shared" si="46"/>
        <v>100</v>
      </c>
      <c r="AI142" s="238">
        <f t="shared" si="50"/>
        <v>71.328578845514869</v>
      </c>
      <c r="AJ142" s="238">
        <f t="shared" si="51"/>
        <v>64</v>
      </c>
      <c r="AK142" s="238">
        <f t="shared" si="52"/>
        <v>64</v>
      </c>
      <c r="AL142" s="238"/>
      <c r="AM142" s="240">
        <f t="shared" si="53"/>
        <v>3.3807649366937809E-2</v>
      </c>
      <c r="AN142" s="238">
        <f t="shared" si="54"/>
        <v>34.891675685816637</v>
      </c>
      <c r="AO142" s="240">
        <f t="shared" si="55"/>
        <v>4.7397060076241275E-2</v>
      </c>
      <c r="AP142" s="238">
        <f t="shared" si="56"/>
        <v>48.013221857232409</v>
      </c>
    </row>
    <row r="143" spans="1:42" ht="22.2" x14ac:dyDescent="0.7">
      <c r="A143" s="118"/>
      <c r="B143" s="118"/>
      <c r="C143" s="118"/>
      <c r="D143" s="118"/>
      <c r="R143" s="220">
        <v>7</v>
      </c>
      <c r="S143" s="220">
        <v>26</v>
      </c>
      <c r="T143" s="220">
        <v>20</v>
      </c>
      <c r="U143" s="220">
        <f t="shared" si="39"/>
        <v>30</v>
      </c>
      <c r="V143" s="237">
        <f t="shared" si="47"/>
        <v>35637.833333332994</v>
      </c>
      <c r="W143" s="234">
        <v>86</v>
      </c>
      <c r="X143" s="234">
        <f t="shared" si="40"/>
        <v>30</v>
      </c>
      <c r="Y143" s="234">
        <v>70</v>
      </c>
      <c r="Z143" s="238">
        <f t="shared" si="41"/>
        <v>78.072192254015718</v>
      </c>
      <c r="AA143" s="238">
        <f t="shared" si="42"/>
        <v>25.595662363342086</v>
      </c>
      <c r="AB143" s="239">
        <f t="shared" si="43"/>
        <v>80.054144190511792</v>
      </c>
      <c r="AC143" s="239">
        <f t="shared" si="44"/>
        <v>26.696746772506575</v>
      </c>
      <c r="AD143" s="239">
        <f t="shared" si="48"/>
        <v>86</v>
      </c>
      <c r="AE143" s="239" t="b">
        <f t="shared" si="49"/>
        <v>0</v>
      </c>
      <c r="AF143" s="239">
        <f t="shared" si="57"/>
        <v>86</v>
      </c>
      <c r="AG143" s="239">
        <f t="shared" si="45"/>
        <v>30</v>
      </c>
      <c r="AH143" s="239">
        <f t="shared" si="46"/>
        <v>100</v>
      </c>
      <c r="AI143" s="238">
        <f t="shared" si="50"/>
        <v>76.175174487881009</v>
      </c>
      <c r="AJ143" s="238">
        <f t="shared" si="51"/>
        <v>70</v>
      </c>
      <c r="AK143" s="238">
        <f t="shared" si="52"/>
        <v>70</v>
      </c>
      <c r="AL143" s="238"/>
      <c r="AM143" s="240">
        <f t="shared" si="53"/>
        <v>3.1822794321067487E-2</v>
      </c>
      <c r="AN143" s="238">
        <f t="shared" si="54"/>
        <v>32.744313837696332</v>
      </c>
      <c r="AO143" s="240">
        <f t="shared" si="55"/>
        <v>4.177580758430726E-2</v>
      </c>
      <c r="AP143" s="238">
        <f t="shared" si="56"/>
        <v>42.318893082903251</v>
      </c>
    </row>
    <row r="144" spans="1:42" ht="22.2" x14ac:dyDescent="0.7">
      <c r="A144" s="118"/>
      <c r="B144" s="118"/>
      <c r="C144" s="118"/>
      <c r="D144" s="118"/>
      <c r="R144" s="220">
        <v>7</v>
      </c>
      <c r="S144" s="220">
        <v>26</v>
      </c>
      <c r="T144" s="220">
        <v>21</v>
      </c>
      <c r="U144" s="220">
        <f t="shared" si="39"/>
        <v>30</v>
      </c>
      <c r="V144" s="237">
        <f t="shared" si="47"/>
        <v>35637.874999999658</v>
      </c>
      <c r="W144" s="234">
        <v>86</v>
      </c>
      <c r="X144" s="234">
        <f t="shared" si="40"/>
        <v>30</v>
      </c>
      <c r="Y144" s="234">
        <v>72</v>
      </c>
      <c r="Z144" s="238">
        <f t="shared" si="41"/>
        <v>78.632483735018013</v>
      </c>
      <c r="AA144" s="238">
        <f t="shared" si="42"/>
        <v>25.906935408343362</v>
      </c>
      <c r="AB144" s="239">
        <f t="shared" si="43"/>
        <v>80.47436280126351</v>
      </c>
      <c r="AC144" s="239">
        <f t="shared" si="44"/>
        <v>26.930201556257529</v>
      </c>
      <c r="AD144" s="239">
        <f t="shared" si="48"/>
        <v>86</v>
      </c>
      <c r="AE144" s="239" t="b">
        <f t="shared" si="49"/>
        <v>0</v>
      </c>
      <c r="AF144" s="239">
        <f t="shared" si="57"/>
        <v>86</v>
      </c>
      <c r="AG144" s="239">
        <f t="shared" si="45"/>
        <v>30</v>
      </c>
      <c r="AH144" s="239">
        <f t="shared" si="46"/>
        <v>100</v>
      </c>
      <c r="AI144" s="238">
        <f t="shared" si="50"/>
        <v>77.6950265394307</v>
      </c>
      <c r="AJ144" s="238">
        <f t="shared" si="51"/>
        <v>72</v>
      </c>
      <c r="AK144" s="238">
        <f t="shared" si="52"/>
        <v>72</v>
      </c>
      <c r="AL144" s="238"/>
      <c r="AM144" s="240">
        <f t="shared" si="53"/>
        <v>3.245772478968903E-2</v>
      </c>
      <c r="AN144" s="238">
        <f t="shared" si="54"/>
        <v>33.352710408663327</v>
      </c>
      <c r="AO144" s="240">
        <f t="shared" si="55"/>
        <v>4.177580758430726E-2</v>
      </c>
      <c r="AP144" s="238">
        <f t="shared" si="56"/>
        <v>42.318893082903251</v>
      </c>
    </row>
    <row r="145" spans="1:42" ht="22.2" x14ac:dyDescent="0.7">
      <c r="A145" s="118"/>
      <c r="B145" s="118"/>
      <c r="C145" s="118"/>
      <c r="D145" s="118"/>
      <c r="R145" s="220">
        <v>7</v>
      </c>
      <c r="S145" s="220">
        <v>26</v>
      </c>
      <c r="T145" s="220">
        <v>22</v>
      </c>
      <c r="U145" s="220">
        <f t="shared" si="39"/>
        <v>29.444444444444443</v>
      </c>
      <c r="V145" s="237">
        <f t="shared" si="47"/>
        <v>35637.916666666322</v>
      </c>
      <c r="W145" s="234">
        <v>85</v>
      </c>
      <c r="X145" s="234">
        <f t="shared" si="40"/>
        <v>29.444444444444443</v>
      </c>
      <c r="Y145" s="234">
        <v>75</v>
      </c>
      <c r="Z145" s="238">
        <f t="shared" si="41"/>
        <v>78.518599487306759</v>
      </c>
      <c r="AA145" s="238">
        <f t="shared" si="42"/>
        <v>25.84366638183711</v>
      </c>
      <c r="AB145" s="239">
        <f t="shared" si="43"/>
        <v>80.138949615480072</v>
      </c>
      <c r="AC145" s="239">
        <f t="shared" si="44"/>
        <v>26.74386089748895</v>
      </c>
      <c r="AD145" s="239">
        <f t="shared" si="48"/>
        <v>85</v>
      </c>
      <c r="AE145" s="239" t="b">
        <f t="shared" si="49"/>
        <v>0</v>
      </c>
      <c r="AF145" s="239">
        <f t="shared" si="57"/>
        <v>85</v>
      </c>
      <c r="AG145" s="239">
        <f t="shared" si="45"/>
        <v>29.444444444444443</v>
      </c>
      <c r="AH145" s="239">
        <f t="shared" si="46"/>
        <v>100</v>
      </c>
      <c r="AI145" s="238">
        <f t="shared" si="50"/>
        <v>80.047990254939521</v>
      </c>
      <c r="AJ145" s="238">
        <f t="shared" si="51"/>
        <v>75</v>
      </c>
      <c r="AK145" s="238">
        <f t="shared" si="52"/>
        <v>75</v>
      </c>
      <c r="AL145" s="238"/>
      <c r="AM145" s="240">
        <f t="shared" si="53"/>
        <v>3.2391132093113402E-2</v>
      </c>
      <c r="AN145" s="238">
        <f t="shared" si="54"/>
        <v>33.22825680724003</v>
      </c>
      <c r="AO145" s="240">
        <f t="shared" si="55"/>
        <v>4.0464641260765002E-2</v>
      </c>
      <c r="AP145" s="238">
        <f t="shared" si="56"/>
        <v>40.990681597154946</v>
      </c>
    </row>
    <row r="146" spans="1:42" ht="22.2" x14ac:dyDescent="0.7">
      <c r="A146" s="118"/>
      <c r="B146" s="118"/>
      <c r="C146" s="118"/>
      <c r="D146" s="118"/>
      <c r="R146" s="220">
        <v>7</v>
      </c>
      <c r="S146" s="220">
        <v>26</v>
      </c>
      <c r="T146" s="220">
        <v>23</v>
      </c>
      <c r="U146" s="220">
        <f t="shared" si="39"/>
        <v>28.333333333333332</v>
      </c>
      <c r="V146" s="237">
        <f t="shared" si="47"/>
        <v>35637.958333332987</v>
      </c>
      <c r="W146" s="234">
        <v>83</v>
      </c>
      <c r="X146" s="234">
        <f t="shared" si="40"/>
        <v>28.333333333333332</v>
      </c>
      <c r="Y146" s="234">
        <v>80</v>
      </c>
      <c r="Z146" s="238">
        <f t="shared" si="41"/>
        <v>77.953339755491726</v>
      </c>
      <c r="AA146" s="238">
        <f t="shared" si="42"/>
        <v>25.529633197495425</v>
      </c>
      <c r="AB146" s="239">
        <f t="shared" si="43"/>
        <v>79.215004816618801</v>
      </c>
      <c r="AC146" s="239">
        <f t="shared" si="44"/>
        <v>26.230558231454911</v>
      </c>
      <c r="AD146" s="239">
        <f t="shared" si="48"/>
        <v>83</v>
      </c>
      <c r="AE146" s="239" t="b">
        <f t="shared" si="49"/>
        <v>0</v>
      </c>
      <c r="AF146" s="239">
        <f t="shared" si="57"/>
        <v>83</v>
      </c>
      <c r="AG146" s="239">
        <f t="shared" si="45"/>
        <v>28.333333333333332</v>
      </c>
      <c r="AH146" s="239">
        <f t="shared" si="46"/>
        <v>100</v>
      </c>
      <c r="AI146" s="238">
        <f t="shared" si="50"/>
        <v>84.003508455155469</v>
      </c>
      <c r="AJ146" s="238">
        <f t="shared" si="51"/>
        <v>80</v>
      </c>
      <c r="AK146" s="238">
        <f t="shared" si="52"/>
        <v>80</v>
      </c>
      <c r="AL146" s="238"/>
      <c r="AM146" s="240">
        <f t="shared" si="53"/>
        <v>3.1878749242251737E-2</v>
      </c>
      <c r="AN146" s="238">
        <f t="shared" si="54"/>
        <v>32.616508080617834</v>
      </c>
      <c r="AO146" s="240">
        <f t="shared" si="55"/>
        <v>3.7949306914091485E-2</v>
      </c>
      <c r="AP146" s="238">
        <f t="shared" si="56"/>
        <v>38.442647903974674</v>
      </c>
    </row>
    <row r="147" spans="1:42" ht="22.2" x14ac:dyDescent="0.7">
      <c r="A147" s="118"/>
      <c r="B147" s="118"/>
      <c r="C147" s="118"/>
      <c r="D147" s="118"/>
      <c r="R147" s="220">
        <v>7</v>
      </c>
      <c r="S147" s="220">
        <v>26</v>
      </c>
      <c r="T147" s="220">
        <v>24</v>
      </c>
      <c r="U147" s="220">
        <f t="shared" si="39"/>
        <v>26.666666666666668</v>
      </c>
      <c r="V147" s="237">
        <f t="shared" si="47"/>
        <v>35637.999999999651</v>
      </c>
      <c r="W147" s="234">
        <v>80</v>
      </c>
      <c r="X147" s="234">
        <f t="shared" si="40"/>
        <v>26.666666666666668</v>
      </c>
      <c r="Y147" s="234">
        <v>88</v>
      </c>
      <c r="Z147" s="238">
        <f t="shared" si="41"/>
        <v>77.102360199528505</v>
      </c>
      <c r="AA147" s="238">
        <f t="shared" si="42"/>
        <v>25.056866777515857</v>
      </c>
      <c r="AB147" s="239">
        <f t="shared" si="43"/>
        <v>77.826770149646379</v>
      </c>
      <c r="AC147" s="239">
        <f t="shared" si="44"/>
        <v>25.459316749803566</v>
      </c>
      <c r="AD147" s="239">
        <f t="shared" si="48"/>
        <v>80</v>
      </c>
      <c r="AE147" s="239" t="b">
        <f t="shared" si="49"/>
        <v>0</v>
      </c>
      <c r="AF147" s="239">
        <f t="shared" si="57"/>
        <v>80</v>
      </c>
      <c r="AG147" s="239">
        <f t="shared" si="45"/>
        <v>26.666666666666668</v>
      </c>
      <c r="AH147" s="239">
        <f t="shared" si="46"/>
        <v>100</v>
      </c>
      <c r="AI147" s="238">
        <f t="shared" si="50"/>
        <v>90.394689842084333</v>
      </c>
      <c r="AJ147" s="238">
        <f t="shared" si="51"/>
        <v>88</v>
      </c>
      <c r="AK147" s="238">
        <f t="shared" si="52"/>
        <v>88</v>
      </c>
      <c r="AL147" s="238"/>
      <c r="AM147" s="240">
        <f t="shared" si="53"/>
        <v>3.1124308563715397E-2</v>
      </c>
      <c r="AN147" s="238">
        <f t="shared" si="54"/>
        <v>31.714058818995639</v>
      </c>
      <c r="AO147" s="240">
        <f t="shared" si="55"/>
        <v>3.4431567405218425E-2</v>
      </c>
      <c r="AP147" s="238">
        <f t="shared" si="56"/>
        <v>34.879177781486263</v>
      </c>
    </row>
    <row r="148" spans="1:42" ht="22.2" x14ac:dyDescent="0.7">
      <c r="A148" s="118"/>
      <c r="B148" s="118"/>
      <c r="C148" s="118"/>
      <c r="D148" s="118"/>
      <c r="R148" s="220">
        <v>7</v>
      </c>
      <c r="S148" s="220">
        <v>27</v>
      </c>
      <c r="T148" s="220">
        <v>1</v>
      </c>
      <c r="U148" s="220">
        <f t="shared" si="39"/>
        <v>27.222222222222221</v>
      </c>
      <c r="V148" s="237">
        <f t="shared" si="47"/>
        <v>35638.041666666315</v>
      </c>
      <c r="W148" s="234">
        <v>81</v>
      </c>
      <c r="X148" s="234">
        <f t="shared" si="40"/>
        <v>27.222222222222221</v>
      </c>
      <c r="Y148" s="234">
        <v>85</v>
      </c>
      <c r="Z148" s="238">
        <f t="shared" si="41"/>
        <v>77.3178113544094</v>
      </c>
      <c r="AA148" s="238">
        <f t="shared" si="42"/>
        <v>25.176561863560799</v>
      </c>
      <c r="AB148" s="239">
        <f t="shared" si="43"/>
        <v>78.23835851580705</v>
      </c>
      <c r="AC148" s="239">
        <f t="shared" si="44"/>
        <v>25.687976953226162</v>
      </c>
      <c r="AD148" s="239">
        <f t="shared" si="48"/>
        <v>81</v>
      </c>
      <c r="AE148" s="239" t="b">
        <f t="shared" si="49"/>
        <v>0</v>
      </c>
      <c r="AF148" s="239">
        <f t="shared" si="57"/>
        <v>81</v>
      </c>
      <c r="AG148" s="239">
        <f t="shared" si="45"/>
        <v>27.222222222222221</v>
      </c>
      <c r="AH148" s="239">
        <f t="shared" si="46"/>
        <v>100</v>
      </c>
      <c r="AI148" s="238">
        <f t="shared" si="50"/>
        <v>87.987452078881091</v>
      </c>
      <c r="AJ148" s="238">
        <f t="shared" si="51"/>
        <v>85</v>
      </c>
      <c r="AK148" s="238">
        <f t="shared" si="52"/>
        <v>85</v>
      </c>
      <c r="AL148" s="238"/>
      <c r="AM148" s="240">
        <f t="shared" si="53"/>
        <v>3.1298170316844405E-2</v>
      </c>
      <c r="AN148" s="238">
        <f t="shared" si="54"/>
        <v>31.940457509288166</v>
      </c>
      <c r="AO148" s="240">
        <f t="shared" si="55"/>
        <v>3.5571174727034346E-2</v>
      </c>
      <c r="AP148" s="238">
        <f t="shared" si="56"/>
        <v>36.033599998485791</v>
      </c>
    </row>
    <row r="149" spans="1:42" ht="22.2" x14ac:dyDescent="0.7">
      <c r="A149" s="118"/>
      <c r="B149" s="118"/>
      <c r="C149" s="118"/>
      <c r="D149" s="118"/>
      <c r="R149" s="220">
        <v>7</v>
      </c>
      <c r="S149" s="220">
        <v>27</v>
      </c>
      <c r="T149" s="220">
        <v>2</v>
      </c>
      <c r="U149" s="220">
        <f t="shared" si="39"/>
        <v>26.666666666666668</v>
      </c>
      <c r="V149" s="237">
        <f t="shared" si="47"/>
        <v>35638.083333332979</v>
      </c>
      <c r="W149" s="234">
        <v>80</v>
      </c>
      <c r="X149" s="234">
        <f t="shared" si="40"/>
        <v>26.666666666666668</v>
      </c>
      <c r="Y149" s="234">
        <v>85</v>
      </c>
      <c r="Z149" s="238">
        <f t="shared" si="41"/>
        <v>76.344905095654411</v>
      </c>
      <c r="AA149" s="238">
        <f t="shared" si="42"/>
        <v>24.636058386474694</v>
      </c>
      <c r="AB149" s="239">
        <f t="shared" si="43"/>
        <v>77.258678821740801</v>
      </c>
      <c r="AC149" s="239">
        <f t="shared" si="44"/>
        <v>25.14371045652269</v>
      </c>
      <c r="AD149" s="239">
        <f t="shared" si="48"/>
        <v>80</v>
      </c>
      <c r="AE149" s="239" t="b">
        <f t="shared" si="49"/>
        <v>0</v>
      </c>
      <c r="AF149" s="239">
        <f t="shared" si="57"/>
        <v>80</v>
      </c>
      <c r="AG149" s="239">
        <f t="shared" si="45"/>
        <v>26.666666666666668</v>
      </c>
      <c r="AH149" s="239">
        <f t="shared" si="46"/>
        <v>100</v>
      </c>
      <c r="AI149" s="238">
        <f t="shared" si="50"/>
        <v>88.00770343184584</v>
      </c>
      <c r="AJ149" s="238">
        <f t="shared" si="51"/>
        <v>85</v>
      </c>
      <c r="AK149" s="238">
        <f t="shared" si="52"/>
        <v>85</v>
      </c>
      <c r="AL149" s="238"/>
      <c r="AM149" s="240">
        <f t="shared" si="53"/>
        <v>3.0302431728920731E-2</v>
      </c>
      <c r="AN149" s="238">
        <f t="shared" si="54"/>
        <v>30.929184759689246</v>
      </c>
      <c r="AO149" s="240">
        <f t="shared" si="55"/>
        <v>3.4431567405218425E-2</v>
      </c>
      <c r="AP149" s="238">
        <f t="shared" si="56"/>
        <v>34.879177781486263</v>
      </c>
    </row>
    <row r="150" spans="1:42" ht="22.2" x14ac:dyDescent="0.7">
      <c r="A150" s="118"/>
      <c r="B150" s="118"/>
      <c r="C150" s="118"/>
      <c r="D150" s="118"/>
      <c r="R150" s="220">
        <v>7</v>
      </c>
      <c r="S150" s="220">
        <v>27</v>
      </c>
      <c r="T150" s="220">
        <v>3</v>
      </c>
      <c r="U150" s="220">
        <f t="shared" si="39"/>
        <v>26.666666666666668</v>
      </c>
      <c r="V150" s="237">
        <f t="shared" si="47"/>
        <v>35638.124999999643</v>
      </c>
      <c r="W150" s="234">
        <v>80</v>
      </c>
      <c r="X150" s="234">
        <f t="shared" si="40"/>
        <v>26.666666666666668</v>
      </c>
      <c r="Y150" s="234">
        <v>85</v>
      </c>
      <c r="Z150" s="238">
        <f t="shared" si="41"/>
        <v>76.344905095654411</v>
      </c>
      <c r="AA150" s="238">
        <f t="shared" si="42"/>
        <v>24.636058386474694</v>
      </c>
      <c r="AB150" s="239">
        <f t="shared" si="43"/>
        <v>77.258678821740801</v>
      </c>
      <c r="AC150" s="239">
        <f t="shared" si="44"/>
        <v>25.14371045652269</v>
      </c>
      <c r="AD150" s="239">
        <f t="shared" si="48"/>
        <v>80</v>
      </c>
      <c r="AE150" s="239" t="b">
        <f t="shared" si="49"/>
        <v>0</v>
      </c>
      <c r="AF150" s="239">
        <f t="shared" si="57"/>
        <v>80</v>
      </c>
      <c r="AG150" s="239">
        <f t="shared" si="45"/>
        <v>26.666666666666668</v>
      </c>
      <c r="AH150" s="239">
        <f t="shared" si="46"/>
        <v>100</v>
      </c>
      <c r="AI150" s="238">
        <f t="shared" si="50"/>
        <v>88.00770343184584</v>
      </c>
      <c r="AJ150" s="238">
        <f t="shared" si="51"/>
        <v>85</v>
      </c>
      <c r="AK150" s="238">
        <f t="shared" si="52"/>
        <v>85</v>
      </c>
      <c r="AL150" s="238"/>
      <c r="AM150" s="240">
        <f t="shared" si="53"/>
        <v>3.0302431728920731E-2</v>
      </c>
      <c r="AN150" s="238">
        <f t="shared" si="54"/>
        <v>30.929184759689246</v>
      </c>
      <c r="AO150" s="240">
        <f t="shared" si="55"/>
        <v>3.4431567405218425E-2</v>
      </c>
      <c r="AP150" s="238">
        <f t="shared" si="56"/>
        <v>34.879177781486263</v>
      </c>
    </row>
    <row r="151" spans="1:42" ht="22.2" x14ac:dyDescent="0.7">
      <c r="A151" s="118"/>
      <c r="B151" s="118"/>
      <c r="C151" s="118"/>
      <c r="D151" s="118"/>
      <c r="R151" s="220">
        <v>7</v>
      </c>
      <c r="S151" s="220">
        <v>27</v>
      </c>
      <c r="T151" s="220">
        <v>4</v>
      </c>
      <c r="U151" s="220">
        <f t="shared" si="39"/>
        <v>25.555555555555557</v>
      </c>
      <c r="V151" s="237">
        <f t="shared" si="47"/>
        <v>35638.166666666308</v>
      </c>
      <c r="W151" s="234">
        <v>78</v>
      </c>
      <c r="X151" s="234">
        <f t="shared" si="40"/>
        <v>25.555555555555557</v>
      </c>
      <c r="Y151" s="234">
        <v>91</v>
      </c>
      <c r="Z151" s="238">
        <f t="shared" si="41"/>
        <v>75.881775688564488</v>
      </c>
      <c r="AA151" s="238">
        <f t="shared" si="42"/>
        <v>24.378764271424735</v>
      </c>
      <c r="AB151" s="239">
        <f t="shared" si="43"/>
        <v>76.411331766423359</v>
      </c>
      <c r="AC151" s="239">
        <f t="shared" si="44"/>
        <v>24.672962092457443</v>
      </c>
      <c r="AD151" s="239">
        <f t="shared" si="48"/>
        <v>78</v>
      </c>
      <c r="AE151" s="239" t="b">
        <f t="shared" si="49"/>
        <v>0</v>
      </c>
      <c r="AF151" s="239">
        <f t="shared" si="57"/>
        <v>78</v>
      </c>
      <c r="AG151" s="239">
        <f t="shared" si="45"/>
        <v>25.555555555555557</v>
      </c>
      <c r="AH151" s="239">
        <f t="shared" si="46"/>
        <v>100</v>
      </c>
      <c r="AI151" s="238">
        <f t="shared" si="50"/>
        <v>92.825429994661562</v>
      </c>
      <c r="AJ151" s="238">
        <f t="shared" si="51"/>
        <v>91</v>
      </c>
      <c r="AK151" s="238">
        <f t="shared" si="52"/>
        <v>91</v>
      </c>
      <c r="AL151" s="238"/>
      <c r="AM151" s="240">
        <f t="shared" si="53"/>
        <v>2.9933801581416623E-2</v>
      </c>
      <c r="AN151" s="238">
        <f t="shared" si="54"/>
        <v>30.457683231086897</v>
      </c>
      <c r="AO151" s="240">
        <f t="shared" si="55"/>
        <v>3.2247414941291554E-2</v>
      </c>
      <c r="AP151" s="238">
        <f t="shared" si="56"/>
        <v>32.666631335528344</v>
      </c>
    </row>
    <row r="152" spans="1:42" ht="22.2" x14ac:dyDescent="0.7">
      <c r="A152" s="118"/>
      <c r="B152" s="118"/>
      <c r="C152" s="118"/>
      <c r="D152" s="118"/>
      <c r="R152" s="220">
        <v>7</v>
      </c>
      <c r="S152" s="220">
        <v>27</v>
      </c>
      <c r="T152" s="220">
        <v>5</v>
      </c>
      <c r="U152" s="220">
        <f t="shared" si="39"/>
        <v>25</v>
      </c>
      <c r="V152" s="237">
        <f t="shared" si="47"/>
        <v>35638.208333332972</v>
      </c>
      <c r="W152" s="234">
        <v>77</v>
      </c>
      <c r="X152" s="234">
        <f t="shared" si="40"/>
        <v>25</v>
      </c>
      <c r="Y152" s="234">
        <v>94</v>
      </c>
      <c r="Z152" s="238">
        <f t="shared" si="41"/>
        <v>75.625179294965108</v>
      </c>
      <c r="AA152" s="238">
        <f t="shared" si="42"/>
        <v>24.236210719425081</v>
      </c>
      <c r="AB152" s="239">
        <f t="shared" si="43"/>
        <v>75.968884471223831</v>
      </c>
      <c r="AC152" s="239">
        <f t="shared" si="44"/>
        <v>24.427158039568816</v>
      </c>
      <c r="AD152" s="239">
        <f t="shared" si="48"/>
        <v>77</v>
      </c>
      <c r="AE152" s="239" t="b">
        <f t="shared" si="49"/>
        <v>0</v>
      </c>
      <c r="AF152" s="239">
        <f t="shared" si="57"/>
        <v>77</v>
      </c>
      <c r="AG152" s="239">
        <f t="shared" si="45"/>
        <v>25</v>
      </c>
      <c r="AH152" s="239">
        <f t="shared" si="46"/>
        <v>100</v>
      </c>
      <c r="AI152" s="238">
        <f t="shared" si="50"/>
        <v>95.26934551823993</v>
      </c>
      <c r="AJ152" s="238">
        <f t="shared" si="51"/>
        <v>94</v>
      </c>
      <c r="AK152" s="238">
        <f t="shared" si="52"/>
        <v>94</v>
      </c>
      <c r="AL152" s="238"/>
      <c r="AM152" s="240">
        <f t="shared" si="53"/>
        <v>2.9725341828497249E-2</v>
      </c>
      <c r="AN152" s="238">
        <f t="shared" si="54"/>
        <v>30.199157387202291</v>
      </c>
      <c r="AO152" s="240">
        <f t="shared" si="55"/>
        <v>3.1201370878323226E-2</v>
      </c>
      <c r="AP152" s="238">
        <f t="shared" si="56"/>
        <v>31.606988699741429</v>
      </c>
    </row>
    <row r="153" spans="1:42" ht="22.2" x14ac:dyDescent="0.7">
      <c r="A153" s="118"/>
      <c r="B153" s="118"/>
      <c r="C153" s="118"/>
      <c r="D153" s="118"/>
      <c r="R153" s="220">
        <v>7</v>
      </c>
      <c r="S153" s="220">
        <v>27</v>
      </c>
      <c r="T153" s="220">
        <v>6</v>
      </c>
      <c r="U153" s="220">
        <f t="shared" si="39"/>
        <v>24.444444444444443</v>
      </c>
      <c r="V153" s="237">
        <f t="shared" si="47"/>
        <v>35638.249999999636</v>
      </c>
      <c r="W153" s="234">
        <v>76</v>
      </c>
      <c r="X153" s="234">
        <f t="shared" si="40"/>
        <v>24.444444444444443</v>
      </c>
      <c r="Y153" s="234">
        <v>94</v>
      </c>
      <c r="Z153" s="238">
        <f t="shared" si="41"/>
        <v>74.63104710423832</v>
      </c>
      <c r="AA153" s="238">
        <f t="shared" si="42"/>
        <v>23.683915057910198</v>
      </c>
      <c r="AB153" s="239">
        <f t="shared" si="43"/>
        <v>74.973285328178747</v>
      </c>
      <c r="AC153" s="239">
        <f t="shared" si="44"/>
        <v>23.87404740454377</v>
      </c>
      <c r="AD153" s="239">
        <f t="shared" si="48"/>
        <v>76</v>
      </c>
      <c r="AE153" s="239" t="b">
        <f t="shared" si="49"/>
        <v>0</v>
      </c>
      <c r="AF153" s="239">
        <f t="shared" si="57"/>
        <v>76</v>
      </c>
      <c r="AG153" s="239">
        <f t="shared" si="45"/>
        <v>24.444444444444443</v>
      </c>
      <c r="AH153" s="239">
        <f t="shared" si="46"/>
        <v>100</v>
      </c>
      <c r="AI153" s="238">
        <f t="shared" si="50"/>
        <v>95.262494797251676</v>
      </c>
      <c r="AJ153" s="238">
        <f t="shared" si="51"/>
        <v>94</v>
      </c>
      <c r="AK153" s="238">
        <f t="shared" si="52"/>
        <v>94</v>
      </c>
      <c r="AL153" s="238"/>
      <c r="AM153" s="240">
        <f t="shared" si="53"/>
        <v>2.8755021420490322E-2</v>
      </c>
      <c r="AN153" s="238">
        <f t="shared" si="54"/>
        <v>29.215536920524222</v>
      </c>
      <c r="AO153" s="240">
        <f t="shared" si="55"/>
        <v>3.0185039224187846E-2</v>
      </c>
      <c r="AP153" s="238">
        <f t="shared" si="56"/>
        <v>30.577444734102286</v>
      </c>
    </row>
    <row r="154" spans="1:42" ht="22.2" x14ac:dyDescent="0.7">
      <c r="A154" s="118"/>
      <c r="B154" s="118"/>
      <c r="C154" s="118"/>
      <c r="D154" s="118"/>
      <c r="R154" s="220">
        <v>7</v>
      </c>
      <c r="S154" s="220">
        <v>27</v>
      </c>
      <c r="T154" s="220">
        <v>7</v>
      </c>
      <c r="U154" s="220">
        <f t="shared" si="39"/>
        <v>27.222222222222221</v>
      </c>
      <c r="V154" s="237">
        <f t="shared" si="47"/>
        <v>35638.2916666663</v>
      </c>
      <c r="W154" s="234">
        <v>81</v>
      </c>
      <c r="X154" s="234">
        <f t="shared" si="40"/>
        <v>27.222222222222221</v>
      </c>
      <c r="Y154" s="234">
        <v>85</v>
      </c>
      <c r="Z154" s="238">
        <f t="shared" si="41"/>
        <v>77.3178113544094</v>
      </c>
      <c r="AA154" s="238">
        <f t="shared" si="42"/>
        <v>25.176561863560799</v>
      </c>
      <c r="AB154" s="239">
        <f t="shared" si="43"/>
        <v>78.23835851580705</v>
      </c>
      <c r="AC154" s="239">
        <f t="shared" si="44"/>
        <v>25.687976953226162</v>
      </c>
      <c r="AD154" s="239">
        <f t="shared" si="48"/>
        <v>81</v>
      </c>
      <c r="AE154" s="239" t="b">
        <f t="shared" si="49"/>
        <v>0</v>
      </c>
      <c r="AF154" s="239">
        <f t="shared" si="57"/>
        <v>81</v>
      </c>
      <c r="AG154" s="239">
        <f t="shared" si="45"/>
        <v>27.222222222222221</v>
      </c>
      <c r="AH154" s="239">
        <f t="shared" si="46"/>
        <v>100</v>
      </c>
      <c r="AI154" s="238">
        <f t="shared" si="50"/>
        <v>87.987452078881091</v>
      </c>
      <c r="AJ154" s="238">
        <f t="shared" si="51"/>
        <v>85</v>
      </c>
      <c r="AK154" s="238">
        <f t="shared" si="52"/>
        <v>85</v>
      </c>
      <c r="AL154" s="238"/>
      <c r="AM154" s="240">
        <f t="shared" si="53"/>
        <v>3.1298170316844405E-2</v>
      </c>
      <c r="AN154" s="238">
        <f t="shared" si="54"/>
        <v>31.940457509288166</v>
      </c>
      <c r="AO154" s="240">
        <f t="shared" si="55"/>
        <v>3.5571174727034346E-2</v>
      </c>
      <c r="AP154" s="238">
        <f t="shared" si="56"/>
        <v>36.033599998485791</v>
      </c>
    </row>
    <row r="155" spans="1:42" ht="22.2" x14ac:dyDescent="0.7">
      <c r="A155" s="118"/>
      <c r="B155" s="118"/>
      <c r="C155" s="118"/>
      <c r="D155" s="118"/>
      <c r="R155" s="220">
        <v>7</v>
      </c>
      <c r="S155" s="220">
        <v>27</v>
      </c>
      <c r="T155" s="220">
        <v>8</v>
      </c>
      <c r="U155" s="220">
        <f t="shared" si="39"/>
        <v>30</v>
      </c>
      <c r="V155" s="237">
        <f t="shared" si="47"/>
        <v>35638.333333332965</v>
      </c>
      <c r="W155" s="234">
        <v>86</v>
      </c>
      <c r="X155" s="234">
        <f t="shared" si="40"/>
        <v>30</v>
      </c>
      <c r="Y155" s="234">
        <v>75</v>
      </c>
      <c r="Z155" s="238">
        <f t="shared" si="41"/>
        <v>79.464883473786998</v>
      </c>
      <c r="AA155" s="238">
        <f t="shared" si="42"/>
        <v>26.369379707659466</v>
      </c>
      <c r="AB155" s="239">
        <f t="shared" si="43"/>
        <v>81.098662605340252</v>
      </c>
      <c r="AC155" s="239">
        <f t="shared" si="44"/>
        <v>27.277034780744607</v>
      </c>
      <c r="AD155" s="239">
        <f t="shared" si="48"/>
        <v>86</v>
      </c>
      <c r="AE155" s="239" t="b">
        <f t="shared" si="49"/>
        <v>0</v>
      </c>
      <c r="AF155" s="239">
        <f t="shared" si="57"/>
        <v>86</v>
      </c>
      <c r="AG155" s="239">
        <f t="shared" si="45"/>
        <v>30</v>
      </c>
      <c r="AH155" s="239">
        <f t="shared" si="46"/>
        <v>100</v>
      </c>
      <c r="AI155" s="238">
        <f t="shared" si="50"/>
        <v>79.996645432979733</v>
      </c>
      <c r="AJ155" s="238">
        <f t="shared" si="51"/>
        <v>75</v>
      </c>
      <c r="AK155" s="238">
        <f t="shared" si="52"/>
        <v>75</v>
      </c>
      <c r="AL155" s="238"/>
      <c r="AM155" s="240">
        <f t="shared" si="53"/>
        <v>3.3419244669982133E-2</v>
      </c>
      <c r="AN155" s="238">
        <f t="shared" si="54"/>
        <v>34.274765684436147</v>
      </c>
      <c r="AO155" s="240">
        <f t="shared" si="55"/>
        <v>4.177580758430726E-2</v>
      </c>
      <c r="AP155" s="238">
        <f t="shared" si="56"/>
        <v>42.318893082903251</v>
      </c>
    </row>
    <row r="156" spans="1:42" ht="22.2" x14ac:dyDescent="0.7">
      <c r="A156" s="118"/>
      <c r="B156" s="118"/>
      <c r="C156" s="118"/>
      <c r="D156" s="118"/>
      <c r="R156" s="220">
        <v>7</v>
      </c>
      <c r="S156" s="220">
        <v>27</v>
      </c>
      <c r="T156" s="220">
        <v>10</v>
      </c>
      <c r="U156" s="220">
        <f t="shared" si="39"/>
        <v>33.333333333333336</v>
      </c>
      <c r="V156" s="237">
        <f t="shared" si="47"/>
        <v>35638.374999999629</v>
      </c>
      <c r="W156" s="234">
        <v>92</v>
      </c>
      <c r="X156" s="234">
        <f t="shared" si="40"/>
        <v>33.333333333333336</v>
      </c>
      <c r="Y156" s="234">
        <v>62</v>
      </c>
      <c r="Z156" s="238">
        <f t="shared" si="41"/>
        <v>81.213375466864392</v>
      </c>
      <c r="AA156" s="238">
        <f t="shared" si="42"/>
        <v>27.340764148258017</v>
      </c>
      <c r="AB156" s="239">
        <f t="shared" si="43"/>
        <v>83.910031600148301</v>
      </c>
      <c r="AC156" s="239">
        <f t="shared" si="44"/>
        <v>28.838906444526859</v>
      </c>
      <c r="AD156" s="239">
        <f t="shared" si="48"/>
        <v>92</v>
      </c>
      <c r="AE156" s="239" t="b">
        <f t="shared" si="49"/>
        <v>0</v>
      </c>
      <c r="AF156" s="239">
        <f t="shared" si="57"/>
        <v>92</v>
      </c>
      <c r="AG156" s="239">
        <f t="shared" si="45"/>
        <v>33.333333333333336</v>
      </c>
      <c r="AH156" s="239">
        <f t="shared" si="46"/>
        <v>100</v>
      </c>
      <c r="AI156" s="238">
        <f t="shared" si="50"/>
        <v>69.635076190461604</v>
      </c>
      <c r="AJ156" s="238">
        <f t="shared" si="51"/>
        <v>62</v>
      </c>
      <c r="AK156" s="238">
        <f t="shared" si="52"/>
        <v>62</v>
      </c>
      <c r="AL156" s="238"/>
      <c r="AM156" s="240">
        <f t="shared" si="53"/>
        <v>3.5128175130894244E-2</v>
      </c>
      <c r="AN156" s="238">
        <f t="shared" si="54"/>
        <v>36.284188101974024</v>
      </c>
      <c r="AO156" s="240">
        <f t="shared" si="55"/>
        <v>5.0446092763385228E-2</v>
      </c>
      <c r="AP156" s="238">
        <f t="shared" si="56"/>
        <v>51.101891969309236</v>
      </c>
    </row>
    <row r="157" spans="1:42" ht="22.2" x14ac:dyDescent="0.7">
      <c r="A157" s="118"/>
      <c r="B157" s="118"/>
      <c r="C157" s="118"/>
      <c r="D157" s="118"/>
      <c r="R157" s="220">
        <v>7</v>
      </c>
      <c r="S157" s="220">
        <v>27</v>
      </c>
      <c r="T157" s="220">
        <v>11</v>
      </c>
      <c r="U157" s="220">
        <f t="shared" si="39"/>
        <v>33.333333333333336</v>
      </c>
      <c r="V157" s="237">
        <f t="shared" si="47"/>
        <v>35638.416666666293</v>
      </c>
      <c r="W157" s="234">
        <v>92</v>
      </c>
      <c r="X157" s="234">
        <f t="shared" si="40"/>
        <v>33.333333333333336</v>
      </c>
      <c r="Y157" s="234">
        <v>60</v>
      </c>
      <c r="Z157" s="238">
        <f t="shared" si="41"/>
        <v>80.583270524501287</v>
      </c>
      <c r="AA157" s="238">
        <f t="shared" si="42"/>
        <v>26.990705846945183</v>
      </c>
      <c r="AB157" s="239">
        <f t="shared" si="43"/>
        <v>83.437452893375962</v>
      </c>
      <c r="AC157" s="239">
        <f t="shared" si="44"/>
        <v>28.576362718542224</v>
      </c>
      <c r="AD157" s="239">
        <f t="shared" si="48"/>
        <v>92</v>
      </c>
      <c r="AE157" s="239" t="b">
        <f t="shared" si="49"/>
        <v>0</v>
      </c>
      <c r="AF157" s="239">
        <f t="shared" si="57"/>
        <v>92</v>
      </c>
      <c r="AG157" s="239">
        <f t="shared" si="45"/>
        <v>33.333333333333336</v>
      </c>
      <c r="AH157" s="239">
        <f t="shared" si="46"/>
        <v>100</v>
      </c>
      <c r="AI157" s="238">
        <f t="shared" si="50"/>
        <v>68.119578009918868</v>
      </c>
      <c r="AJ157" s="238">
        <f t="shared" si="51"/>
        <v>60</v>
      </c>
      <c r="AK157" s="238">
        <f t="shared" si="52"/>
        <v>60</v>
      </c>
      <c r="AL157" s="238"/>
      <c r="AM157" s="240">
        <f t="shared" si="53"/>
        <v>3.4363665512910237E-2</v>
      </c>
      <c r="AN157" s="238">
        <f t="shared" si="54"/>
        <v>35.548536294400961</v>
      </c>
      <c r="AO157" s="240">
        <f t="shared" si="55"/>
        <v>5.0446092763385228E-2</v>
      </c>
      <c r="AP157" s="238">
        <f t="shared" si="56"/>
        <v>51.101891969309236</v>
      </c>
    </row>
    <row r="158" spans="1:42" ht="22.2" x14ac:dyDescent="0.7">
      <c r="A158" s="118"/>
      <c r="B158" s="118"/>
      <c r="C158" s="118"/>
      <c r="D158" s="118"/>
      <c r="R158" s="220">
        <v>7</v>
      </c>
      <c r="S158" s="220">
        <v>27</v>
      </c>
      <c r="T158" s="220">
        <v>12</v>
      </c>
      <c r="U158" s="220">
        <f t="shared" si="39"/>
        <v>34.444444444444443</v>
      </c>
      <c r="V158" s="237">
        <f t="shared" si="47"/>
        <v>35638.458333332957</v>
      </c>
      <c r="W158" s="234">
        <v>94</v>
      </c>
      <c r="X158" s="234">
        <f t="shared" si="40"/>
        <v>34.444444444444443</v>
      </c>
      <c r="Y158" s="234">
        <v>54</v>
      </c>
      <c r="Z158" s="238">
        <f t="shared" si="41"/>
        <v>80.392019090212528</v>
      </c>
      <c r="AA158" s="238">
        <f t="shared" si="42"/>
        <v>26.884455050118095</v>
      </c>
      <c r="AB158" s="239">
        <f t="shared" si="43"/>
        <v>83.794014317659389</v>
      </c>
      <c r="AC158" s="239">
        <f t="shared" si="44"/>
        <v>28.774452398699687</v>
      </c>
      <c r="AD158" s="239">
        <f t="shared" si="48"/>
        <v>94</v>
      </c>
      <c r="AE158" s="239" t="b">
        <f t="shared" si="49"/>
        <v>0</v>
      </c>
      <c r="AF158" s="239">
        <f t="shared" si="57"/>
        <v>94</v>
      </c>
      <c r="AG158" s="239">
        <f t="shared" si="45"/>
        <v>34.444444444444443</v>
      </c>
      <c r="AH158" s="239">
        <f t="shared" si="46"/>
        <v>100</v>
      </c>
      <c r="AI158" s="238">
        <f t="shared" si="50"/>
        <v>63.370425906253736</v>
      </c>
      <c r="AJ158" s="238">
        <f t="shared" si="51"/>
        <v>54</v>
      </c>
      <c r="AK158" s="238">
        <f t="shared" si="52"/>
        <v>54</v>
      </c>
      <c r="AL158" s="238"/>
      <c r="AM158" s="240">
        <f t="shared" si="53"/>
        <v>3.4007068579557813E-2</v>
      </c>
      <c r="AN158" s="238">
        <f t="shared" si="54"/>
        <v>35.327834742840679</v>
      </c>
      <c r="AO158" s="240">
        <f t="shared" si="55"/>
        <v>5.3663941962242376E-2</v>
      </c>
      <c r="AP158" s="238">
        <f t="shared" si="56"/>
        <v>54.361573207751526</v>
      </c>
    </row>
    <row r="159" spans="1:42" ht="22.2" x14ac:dyDescent="0.7">
      <c r="A159" s="118"/>
      <c r="B159" s="118"/>
      <c r="C159" s="118"/>
      <c r="D159" s="118"/>
      <c r="R159" s="220">
        <v>7</v>
      </c>
      <c r="S159" s="220">
        <v>27</v>
      </c>
      <c r="T159" s="220">
        <v>13</v>
      </c>
      <c r="U159" s="220">
        <f t="shared" si="39"/>
        <v>34.444444444444443</v>
      </c>
      <c r="V159" s="237">
        <f t="shared" si="47"/>
        <v>35638.499999999622</v>
      </c>
      <c r="W159" s="234">
        <v>94</v>
      </c>
      <c r="X159" s="234">
        <f t="shared" si="40"/>
        <v>34.444444444444443</v>
      </c>
      <c r="Y159" s="234">
        <v>54</v>
      </c>
      <c r="Z159" s="238">
        <f t="shared" si="41"/>
        <v>80.392019090212528</v>
      </c>
      <c r="AA159" s="238">
        <f t="shared" si="42"/>
        <v>26.884455050118095</v>
      </c>
      <c r="AB159" s="239">
        <f t="shared" si="43"/>
        <v>83.794014317659389</v>
      </c>
      <c r="AC159" s="239">
        <f t="shared" si="44"/>
        <v>28.774452398699687</v>
      </c>
      <c r="AD159" s="239">
        <f t="shared" si="48"/>
        <v>94</v>
      </c>
      <c r="AE159" s="239" t="b">
        <f t="shared" si="49"/>
        <v>0</v>
      </c>
      <c r="AF159" s="239">
        <f t="shared" si="57"/>
        <v>94</v>
      </c>
      <c r="AG159" s="239">
        <f t="shared" si="45"/>
        <v>34.444444444444443</v>
      </c>
      <c r="AH159" s="239">
        <f t="shared" si="46"/>
        <v>100</v>
      </c>
      <c r="AI159" s="238">
        <f t="shared" si="50"/>
        <v>63.370425906253736</v>
      </c>
      <c r="AJ159" s="238">
        <f t="shared" si="51"/>
        <v>54</v>
      </c>
      <c r="AK159" s="238">
        <f t="shared" si="52"/>
        <v>54</v>
      </c>
      <c r="AL159" s="238"/>
      <c r="AM159" s="240">
        <f t="shared" si="53"/>
        <v>3.4007068579557813E-2</v>
      </c>
      <c r="AN159" s="238">
        <f t="shared" si="54"/>
        <v>35.327834742840679</v>
      </c>
      <c r="AO159" s="240">
        <f t="shared" si="55"/>
        <v>5.3663941962242376E-2</v>
      </c>
      <c r="AP159" s="238">
        <f t="shared" si="56"/>
        <v>54.361573207751526</v>
      </c>
    </row>
    <row r="160" spans="1:42" ht="22.2" x14ac:dyDescent="0.7">
      <c r="A160" s="118"/>
      <c r="B160" s="118"/>
      <c r="C160" s="118"/>
      <c r="D160" s="118"/>
      <c r="R160" s="220">
        <v>7</v>
      </c>
      <c r="S160" s="220">
        <v>27</v>
      </c>
      <c r="T160" s="220">
        <v>14</v>
      </c>
      <c r="U160" s="220">
        <f t="shared" si="39"/>
        <v>36.111111111111114</v>
      </c>
      <c r="V160" s="237">
        <f t="shared" si="47"/>
        <v>35638.541666666286</v>
      </c>
      <c r="W160" s="234">
        <v>97</v>
      </c>
      <c r="X160" s="234">
        <f t="shared" si="40"/>
        <v>36.111111111111114</v>
      </c>
      <c r="Y160" s="234">
        <v>49</v>
      </c>
      <c r="Z160" s="238">
        <f t="shared" si="41"/>
        <v>81.225521066396027</v>
      </c>
      <c r="AA160" s="238">
        <f t="shared" si="42"/>
        <v>27.347511703553373</v>
      </c>
      <c r="AB160" s="239">
        <f t="shared" si="43"/>
        <v>85.16914079979702</v>
      </c>
      <c r="AC160" s="239">
        <f t="shared" si="44"/>
        <v>29.538411555442813</v>
      </c>
      <c r="AD160" s="239">
        <f t="shared" si="48"/>
        <v>97</v>
      </c>
      <c r="AE160" s="239" t="b">
        <f t="shared" si="49"/>
        <v>0</v>
      </c>
      <c r="AF160" s="239">
        <f t="shared" si="57"/>
        <v>97</v>
      </c>
      <c r="AG160" s="239">
        <f t="shared" si="45"/>
        <v>36.111111111111114</v>
      </c>
      <c r="AH160" s="239">
        <f t="shared" si="46"/>
        <v>100</v>
      </c>
      <c r="AI160" s="238">
        <f t="shared" si="50"/>
        <v>59.200372410044423</v>
      </c>
      <c r="AJ160" s="238">
        <f t="shared" si="51"/>
        <v>49</v>
      </c>
      <c r="AK160" s="238">
        <f t="shared" si="52"/>
        <v>49</v>
      </c>
      <c r="AL160" s="238"/>
      <c r="AM160" s="240">
        <f t="shared" si="53"/>
        <v>3.482418043280483E-2</v>
      </c>
      <c r="AN160" s="238">
        <f t="shared" si="54"/>
        <v>36.298497429068881</v>
      </c>
      <c r="AO160" s="240">
        <f t="shared" si="55"/>
        <v>5.8824259063100542E-2</v>
      </c>
      <c r="AP160" s="238">
        <f t="shared" si="56"/>
        <v>59.58897443092085</v>
      </c>
    </row>
    <row r="161" spans="1:42" ht="22.2" x14ac:dyDescent="0.7">
      <c r="A161" s="118"/>
      <c r="B161" s="118"/>
      <c r="C161" s="118"/>
      <c r="D161" s="118"/>
      <c r="R161" s="220">
        <v>7</v>
      </c>
      <c r="S161" s="220">
        <v>27</v>
      </c>
      <c r="T161" s="220">
        <v>15</v>
      </c>
      <c r="U161" s="220">
        <f t="shared" si="39"/>
        <v>36.666666666666664</v>
      </c>
      <c r="V161" s="237">
        <f t="shared" si="47"/>
        <v>35638.58333333295</v>
      </c>
      <c r="W161" s="234">
        <v>98</v>
      </c>
      <c r="X161" s="234">
        <f t="shared" si="40"/>
        <v>36.666666666666664</v>
      </c>
      <c r="Y161" s="234">
        <v>48</v>
      </c>
      <c r="Z161" s="238">
        <f t="shared" si="41"/>
        <v>81.707304572639885</v>
      </c>
      <c r="AA161" s="238">
        <f t="shared" si="42"/>
        <v>27.615169207022181</v>
      </c>
      <c r="AB161" s="239">
        <f t="shared" si="43"/>
        <v>85.780478429479913</v>
      </c>
      <c r="AC161" s="239">
        <f t="shared" si="44"/>
        <v>29.878043571933311</v>
      </c>
      <c r="AD161" s="239">
        <f t="shared" si="48"/>
        <v>98</v>
      </c>
      <c r="AE161" s="239" t="b">
        <f t="shared" si="49"/>
        <v>0</v>
      </c>
      <c r="AF161" s="239">
        <f t="shared" si="57"/>
        <v>98</v>
      </c>
      <c r="AG161" s="239">
        <f t="shared" si="45"/>
        <v>36.666666666666664</v>
      </c>
      <c r="AH161" s="239">
        <f t="shared" si="46"/>
        <v>100</v>
      </c>
      <c r="AI161" s="238">
        <f t="shared" si="50"/>
        <v>58.302860011059423</v>
      </c>
      <c r="AJ161" s="238">
        <f t="shared" si="51"/>
        <v>48</v>
      </c>
      <c r="AK161" s="238">
        <f t="shared" si="52"/>
        <v>48</v>
      </c>
      <c r="AL161" s="238"/>
      <c r="AM161" s="240">
        <f t="shared" si="53"/>
        <v>3.5353300987079783E-2</v>
      </c>
      <c r="AN161" s="238">
        <f t="shared" si="54"/>
        <v>36.87008868521788</v>
      </c>
      <c r="AO161" s="240">
        <f t="shared" si="55"/>
        <v>6.0637335767702728E-2</v>
      </c>
      <c r="AP161" s="238">
        <f t="shared" si="56"/>
        <v>61.425621132682863</v>
      </c>
    </row>
    <row r="162" spans="1:42" ht="22.2" x14ac:dyDescent="0.7">
      <c r="A162" s="118"/>
      <c r="B162" s="118"/>
      <c r="C162" s="118"/>
      <c r="D162" s="118"/>
      <c r="R162" s="220">
        <v>7</v>
      </c>
      <c r="S162" s="220">
        <v>27</v>
      </c>
      <c r="T162" s="220">
        <v>16</v>
      </c>
      <c r="U162" s="220">
        <f t="shared" si="39"/>
        <v>36.666666666666664</v>
      </c>
      <c r="V162" s="237">
        <f t="shared" si="47"/>
        <v>35638.624999999614</v>
      </c>
      <c r="W162" s="234">
        <v>98</v>
      </c>
      <c r="X162" s="234">
        <f t="shared" si="40"/>
        <v>36.666666666666664</v>
      </c>
      <c r="Y162" s="234">
        <v>45</v>
      </c>
      <c r="Z162" s="238">
        <f t="shared" si="41"/>
        <v>80.562524789000776</v>
      </c>
      <c r="AA162" s="238">
        <f t="shared" si="42"/>
        <v>26.979180438333788</v>
      </c>
      <c r="AB162" s="239">
        <f t="shared" si="43"/>
        <v>84.921893591750575</v>
      </c>
      <c r="AC162" s="239">
        <f t="shared" si="44"/>
        <v>29.40105199541701</v>
      </c>
      <c r="AD162" s="239">
        <f t="shared" si="48"/>
        <v>98</v>
      </c>
      <c r="AE162" s="239" t="b">
        <f t="shared" si="49"/>
        <v>0</v>
      </c>
      <c r="AF162" s="239">
        <f t="shared" si="57"/>
        <v>98</v>
      </c>
      <c r="AG162" s="239">
        <f t="shared" si="45"/>
        <v>36.666666666666664</v>
      </c>
      <c r="AH162" s="239">
        <f t="shared" si="46"/>
        <v>100</v>
      </c>
      <c r="AI162" s="238">
        <f t="shared" si="50"/>
        <v>56.000729016281106</v>
      </c>
      <c r="AJ162" s="238">
        <f t="shared" si="51"/>
        <v>45</v>
      </c>
      <c r="AK162" s="238">
        <f t="shared" si="52"/>
        <v>45</v>
      </c>
      <c r="AL162" s="238"/>
      <c r="AM162" s="240">
        <f t="shared" si="53"/>
        <v>3.3957350085963699E-2</v>
      </c>
      <c r="AN162" s="238">
        <f t="shared" si="54"/>
        <v>35.524538071565686</v>
      </c>
      <c r="AO162" s="240">
        <f t="shared" si="55"/>
        <v>6.0637335767702728E-2</v>
      </c>
      <c r="AP162" s="238">
        <f t="shared" si="56"/>
        <v>61.425621132682863</v>
      </c>
    </row>
    <row r="163" spans="1:42" ht="22.2" x14ac:dyDescent="0.7">
      <c r="A163" s="118"/>
      <c r="B163" s="118"/>
      <c r="C163" s="118"/>
      <c r="D163" s="118"/>
      <c r="R163" s="220">
        <v>7</v>
      </c>
      <c r="S163" s="220">
        <v>27</v>
      </c>
      <c r="T163" s="220">
        <v>17</v>
      </c>
      <c r="U163" s="220">
        <f t="shared" si="39"/>
        <v>35.555555555555557</v>
      </c>
      <c r="V163" s="237">
        <f t="shared" si="47"/>
        <v>35638.666666666279</v>
      </c>
      <c r="W163" s="234">
        <v>96</v>
      </c>
      <c r="X163" s="234">
        <f t="shared" si="40"/>
        <v>35.555555555555557</v>
      </c>
      <c r="Y163" s="234">
        <v>48</v>
      </c>
      <c r="Z163" s="238">
        <f t="shared" si="41"/>
        <v>80.005159966801585</v>
      </c>
      <c r="AA163" s="238">
        <f t="shared" si="42"/>
        <v>26.669533314889794</v>
      </c>
      <c r="AB163" s="239">
        <f t="shared" si="43"/>
        <v>84.003869975101196</v>
      </c>
      <c r="AC163" s="239">
        <f t="shared" si="44"/>
        <v>28.891038875056246</v>
      </c>
      <c r="AD163" s="239">
        <f t="shared" si="48"/>
        <v>96</v>
      </c>
      <c r="AE163" s="239" t="b">
        <f t="shared" si="49"/>
        <v>0</v>
      </c>
      <c r="AF163" s="239">
        <f t="shared" si="57"/>
        <v>96</v>
      </c>
      <c r="AG163" s="239">
        <f t="shared" si="45"/>
        <v>35.555555555555557</v>
      </c>
      <c r="AH163" s="239">
        <f t="shared" si="46"/>
        <v>100</v>
      </c>
      <c r="AI163" s="238">
        <f t="shared" si="50"/>
        <v>58.571633322151541</v>
      </c>
      <c r="AJ163" s="238">
        <f t="shared" si="51"/>
        <v>48</v>
      </c>
      <c r="AK163" s="238">
        <f t="shared" si="52"/>
        <v>48</v>
      </c>
      <c r="AL163" s="238"/>
      <c r="AM163" s="240">
        <f t="shared" si="53"/>
        <v>3.3420007838201121E-2</v>
      </c>
      <c r="AN163" s="238">
        <f t="shared" si="54"/>
        <v>34.885050852290874</v>
      </c>
      <c r="AO163" s="240">
        <f t="shared" si="55"/>
        <v>5.7058350506271123E-2</v>
      </c>
      <c r="AP163" s="238">
        <f t="shared" si="56"/>
        <v>57.800109062852648</v>
      </c>
    </row>
    <row r="164" spans="1:42" ht="22.2" x14ac:dyDescent="0.7">
      <c r="A164" s="118"/>
      <c r="B164" s="118"/>
      <c r="C164" s="118"/>
      <c r="D164" s="118"/>
      <c r="R164" s="220">
        <v>7</v>
      </c>
      <c r="S164" s="220">
        <v>27</v>
      </c>
      <c r="T164" s="220">
        <v>18</v>
      </c>
      <c r="U164" s="220">
        <f t="shared" si="39"/>
        <v>35</v>
      </c>
      <c r="V164" s="237">
        <f t="shared" si="47"/>
        <v>35638.708333332943</v>
      </c>
      <c r="W164" s="234">
        <v>95</v>
      </c>
      <c r="X164" s="234">
        <f t="shared" si="40"/>
        <v>35</v>
      </c>
      <c r="Y164" s="234">
        <v>51</v>
      </c>
      <c r="Z164" s="238">
        <f t="shared" si="41"/>
        <v>80.22552562854024</v>
      </c>
      <c r="AA164" s="238">
        <f t="shared" si="42"/>
        <v>26.791958682522377</v>
      </c>
      <c r="AB164" s="239">
        <f t="shared" si="43"/>
        <v>83.919144221405176</v>
      </c>
      <c r="AC164" s="239">
        <f t="shared" si="44"/>
        <v>28.84396901189179</v>
      </c>
      <c r="AD164" s="239">
        <f t="shared" si="48"/>
        <v>95</v>
      </c>
      <c r="AE164" s="239" t="b">
        <f t="shared" si="49"/>
        <v>0</v>
      </c>
      <c r="AF164" s="239">
        <f t="shared" si="57"/>
        <v>95</v>
      </c>
      <c r="AG164" s="239">
        <f t="shared" si="45"/>
        <v>35</v>
      </c>
      <c r="AH164" s="239">
        <f t="shared" si="46"/>
        <v>100</v>
      </c>
      <c r="AI164" s="238">
        <f t="shared" si="50"/>
        <v>60.978992524114226</v>
      </c>
      <c r="AJ164" s="238">
        <f t="shared" si="51"/>
        <v>51</v>
      </c>
      <c r="AK164" s="238">
        <f t="shared" si="52"/>
        <v>51</v>
      </c>
      <c r="AL164" s="238"/>
      <c r="AM164" s="240">
        <f t="shared" si="53"/>
        <v>3.3744909621856285E-2</v>
      </c>
      <c r="AN164" s="238">
        <f t="shared" si="54"/>
        <v>35.136676338746639</v>
      </c>
      <c r="AO164" s="240">
        <f t="shared" si="55"/>
        <v>5.5338581739460213E-2</v>
      </c>
      <c r="AP164" s="238">
        <f t="shared" si="56"/>
        <v>56.057983302073197</v>
      </c>
    </row>
    <row r="165" spans="1:42" ht="22.2" x14ac:dyDescent="0.7">
      <c r="A165" s="118"/>
      <c r="B165" s="118"/>
      <c r="C165" s="118"/>
      <c r="D165" s="118"/>
      <c r="R165" s="220">
        <v>7</v>
      </c>
      <c r="S165" s="220">
        <v>27</v>
      </c>
      <c r="T165" s="220">
        <v>19</v>
      </c>
      <c r="U165" s="220">
        <f t="shared" si="39"/>
        <v>33.333333333333336</v>
      </c>
      <c r="V165" s="237">
        <f t="shared" si="47"/>
        <v>35638.749999999607</v>
      </c>
      <c r="W165" s="234">
        <v>92</v>
      </c>
      <c r="X165" s="234">
        <f t="shared" si="40"/>
        <v>33.333333333333336</v>
      </c>
      <c r="Y165" s="234">
        <v>58</v>
      </c>
      <c r="Z165" s="238">
        <f t="shared" si="41"/>
        <v>79.944776836142822</v>
      </c>
      <c r="AA165" s="238">
        <f t="shared" si="42"/>
        <v>26.635987131190479</v>
      </c>
      <c r="AB165" s="239">
        <f t="shared" si="43"/>
        <v>82.95858262710712</v>
      </c>
      <c r="AC165" s="239">
        <f t="shared" si="44"/>
        <v>28.310323681726203</v>
      </c>
      <c r="AD165" s="239">
        <f t="shared" si="48"/>
        <v>92</v>
      </c>
      <c r="AE165" s="239" t="b">
        <f t="shared" si="49"/>
        <v>0</v>
      </c>
      <c r="AF165" s="239">
        <f t="shared" si="57"/>
        <v>92</v>
      </c>
      <c r="AG165" s="239">
        <f t="shared" si="45"/>
        <v>33.333333333333336</v>
      </c>
      <c r="AH165" s="239">
        <f t="shared" si="46"/>
        <v>100</v>
      </c>
      <c r="AI165" s="238">
        <f t="shared" si="50"/>
        <v>66.610282081745822</v>
      </c>
      <c r="AJ165" s="238">
        <f t="shared" si="51"/>
        <v>58</v>
      </c>
      <c r="AK165" s="238">
        <f t="shared" si="52"/>
        <v>58</v>
      </c>
      <c r="AL165" s="238"/>
      <c r="AM165" s="240">
        <f t="shared" si="53"/>
        <v>3.3602284688910064E-2</v>
      </c>
      <c r="AN165" s="238">
        <f t="shared" si="54"/>
        <v>34.816376733630449</v>
      </c>
      <c r="AO165" s="240">
        <f t="shared" si="55"/>
        <v>5.0446092763385228E-2</v>
      </c>
      <c r="AP165" s="238">
        <f t="shared" si="56"/>
        <v>51.101891969309236</v>
      </c>
    </row>
    <row r="166" spans="1:42" ht="22.2" x14ac:dyDescent="0.7">
      <c r="A166" s="118"/>
      <c r="B166" s="118"/>
      <c r="C166" s="118"/>
      <c r="D166" s="118"/>
      <c r="R166" s="220">
        <v>7</v>
      </c>
      <c r="S166" s="220">
        <v>27</v>
      </c>
      <c r="T166" s="220">
        <v>20</v>
      </c>
      <c r="U166" s="220">
        <f t="shared" si="39"/>
        <v>30.555555555555557</v>
      </c>
      <c r="V166" s="237">
        <f t="shared" si="47"/>
        <v>35638.791666666271</v>
      </c>
      <c r="W166" s="234">
        <v>87</v>
      </c>
      <c r="X166" s="234">
        <f t="shared" si="40"/>
        <v>30.555555555555557</v>
      </c>
      <c r="Y166" s="234">
        <v>70</v>
      </c>
      <c r="Z166" s="238">
        <f t="shared" si="41"/>
        <v>79.003735206665596</v>
      </c>
      <c r="AA166" s="238">
        <f t="shared" si="42"/>
        <v>26.113186225925354</v>
      </c>
      <c r="AB166" s="239">
        <f t="shared" si="43"/>
        <v>81.00280140499919</v>
      </c>
      <c r="AC166" s="239">
        <f t="shared" si="44"/>
        <v>27.223778558332906</v>
      </c>
      <c r="AD166" s="239">
        <f t="shared" si="48"/>
        <v>87</v>
      </c>
      <c r="AE166" s="239" t="b">
        <f t="shared" si="49"/>
        <v>0</v>
      </c>
      <c r="AF166" s="239">
        <f t="shared" si="57"/>
        <v>87</v>
      </c>
      <c r="AG166" s="239">
        <f t="shared" si="45"/>
        <v>30.555555555555557</v>
      </c>
      <c r="AH166" s="239">
        <f t="shared" si="46"/>
        <v>100</v>
      </c>
      <c r="AI166" s="238">
        <f t="shared" si="50"/>
        <v>76.107663044961242</v>
      </c>
      <c r="AJ166" s="238">
        <f t="shared" si="51"/>
        <v>70</v>
      </c>
      <c r="AK166" s="238">
        <f t="shared" si="52"/>
        <v>70</v>
      </c>
      <c r="AL166" s="238"/>
      <c r="AM166" s="240">
        <f t="shared" si="53"/>
        <v>3.2820488251156368E-2</v>
      </c>
      <c r="AN166" s="238">
        <f t="shared" si="54"/>
        <v>33.761242275734475</v>
      </c>
      <c r="AO166" s="240">
        <f t="shared" si="55"/>
        <v>4.3123763019457563E-2</v>
      </c>
      <c r="AP166" s="238">
        <f t="shared" si="56"/>
        <v>43.684371938710512</v>
      </c>
    </row>
    <row r="167" spans="1:42" ht="22.2" x14ac:dyDescent="0.7">
      <c r="A167" s="118"/>
      <c r="B167" s="118"/>
      <c r="C167" s="118"/>
      <c r="D167" s="118"/>
      <c r="R167" s="220">
        <v>7</v>
      </c>
      <c r="S167" s="220">
        <v>27</v>
      </c>
      <c r="T167" s="220">
        <v>21</v>
      </c>
      <c r="U167" s="220">
        <f t="shared" si="39"/>
        <v>30</v>
      </c>
      <c r="V167" s="237">
        <f t="shared" si="47"/>
        <v>35638.833333332936</v>
      </c>
      <c r="W167" s="234">
        <v>86</v>
      </c>
      <c r="X167" s="234">
        <f t="shared" si="40"/>
        <v>30</v>
      </c>
      <c r="Y167" s="234">
        <v>70</v>
      </c>
      <c r="Z167" s="238">
        <f t="shared" si="41"/>
        <v>78.072192254015718</v>
      </c>
      <c r="AA167" s="238">
        <f t="shared" si="42"/>
        <v>25.595662363342086</v>
      </c>
      <c r="AB167" s="239">
        <f t="shared" si="43"/>
        <v>80.054144190511792</v>
      </c>
      <c r="AC167" s="239">
        <f t="shared" si="44"/>
        <v>26.696746772506575</v>
      </c>
      <c r="AD167" s="239">
        <f t="shared" si="48"/>
        <v>86</v>
      </c>
      <c r="AE167" s="239" t="b">
        <f t="shared" si="49"/>
        <v>0</v>
      </c>
      <c r="AF167" s="239">
        <f t="shared" si="57"/>
        <v>86</v>
      </c>
      <c r="AG167" s="239">
        <f t="shared" si="45"/>
        <v>30</v>
      </c>
      <c r="AH167" s="239">
        <f t="shared" si="46"/>
        <v>100</v>
      </c>
      <c r="AI167" s="238">
        <f t="shared" si="50"/>
        <v>76.175174487881009</v>
      </c>
      <c r="AJ167" s="238">
        <f t="shared" si="51"/>
        <v>70</v>
      </c>
      <c r="AK167" s="238">
        <f t="shared" si="52"/>
        <v>70</v>
      </c>
      <c r="AL167" s="238"/>
      <c r="AM167" s="240">
        <f t="shared" si="53"/>
        <v>3.1822794321067487E-2</v>
      </c>
      <c r="AN167" s="238">
        <f t="shared" si="54"/>
        <v>32.744313837696332</v>
      </c>
      <c r="AO167" s="240">
        <f t="shared" si="55"/>
        <v>4.177580758430726E-2</v>
      </c>
      <c r="AP167" s="238">
        <f t="shared" si="56"/>
        <v>42.318893082903251</v>
      </c>
    </row>
    <row r="168" spans="1:42" ht="22.2" x14ac:dyDescent="0.7">
      <c r="A168" s="118"/>
      <c r="B168" s="118"/>
      <c r="C168" s="118"/>
      <c r="D168" s="118"/>
      <c r="R168" s="220">
        <v>7</v>
      </c>
      <c r="S168" s="220">
        <v>27</v>
      </c>
      <c r="T168" s="220">
        <v>22</v>
      </c>
      <c r="U168" s="220">
        <f t="shared" si="39"/>
        <v>30</v>
      </c>
      <c r="V168" s="237">
        <f t="shared" si="47"/>
        <v>35638.8749999996</v>
      </c>
      <c r="W168" s="234">
        <v>86</v>
      </c>
      <c r="X168" s="234">
        <f t="shared" si="40"/>
        <v>30</v>
      </c>
      <c r="Y168" s="234">
        <v>72</v>
      </c>
      <c r="Z168" s="238">
        <f t="shared" si="41"/>
        <v>78.632483735018013</v>
      </c>
      <c r="AA168" s="238">
        <f t="shared" si="42"/>
        <v>25.906935408343362</v>
      </c>
      <c r="AB168" s="239">
        <f t="shared" si="43"/>
        <v>80.47436280126351</v>
      </c>
      <c r="AC168" s="239">
        <f t="shared" si="44"/>
        <v>26.930201556257529</v>
      </c>
      <c r="AD168" s="239">
        <f t="shared" si="48"/>
        <v>86</v>
      </c>
      <c r="AE168" s="239" t="b">
        <f t="shared" si="49"/>
        <v>0</v>
      </c>
      <c r="AF168" s="239">
        <f t="shared" si="57"/>
        <v>86</v>
      </c>
      <c r="AG168" s="239">
        <f t="shared" si="45"/>
        <v>30</v>
      </c>
      <c r="AH168" s="239">
        <f t="shared" si="46"/>
        <v>100</v>
      </c>
      <c r="AI168" s="238">
        <f t="shared" si="50"/>
        <v>77.6950265394307</v>
      </c>
      <c r="AJ168" s="238">
        <f t="shared" si="51"/>
        <v>72</v>
      </c>
      <c r="AK168" s="238">
        <f t="shared" si="52"/>
        <v>72</v>
      </c>
      <c r="AL168" s="238"/>
      <c r="AM168" s="240">
        <f t="shared" si="53"/>
        <v>3.245772478968903E-2</v>
      </c>
      <c r="AN168" s="238">
        <f t="shared" si="54"/>
        <v>33.352710408663327</v>
      </c>
      <c r="AO168" s="240">
        <f t="shared" si="55"/>
        <v>4.177580758430726E-2</v>
      </c>
      <c r="AP168" s="238">
        <f t="shared" si="56"/>
        <v>42.318893082903251</v>
      </c>
    </row>
    <row r="169" spans="1:42" ht="22.2" x14ac:dyDescent="0.7">
      <c r="A169" s="118"/>
      <c r="B169" s="118"/>
      <c r="C169" s="118"/>
      <c r="D169" s="118"/>
      <c r="R169" s="220">
        <v>7</v>
      </c>
      <c r="S169" s="220">
        <v>27</v>
      </c>
      <c r="T169" s="220">
        <v>23</v>
      </c>
      <c r="U169" s="220">
        <f t="shared" si="39"/>
        <v>28.333333333333332</v>
      </c>
      <c r="V169" s="237">
        <f t="shared" si="47"/>
        <v>35638.916666666264</v>
      </c>
      <c r="W169" s="234">
        <v>83</v>
      </c>
      <c r="X169" s="234">
        <f t="shared" si="40"/>
        <v>28.333333333333332</v>
      </c>
      <c r="Y169" s="234">
        <v>80</v>
      </c>
      <c r="Z169" s="238">
        <f t="shared" si="41"/>
        <v>77.953339755491726</v>
      </c>
      <c r="AA169" s="238">
        <f t="shared" si="42"/>
        <v>25.529633197495425</v>
      </c>
      <c r="AB169" s="239">
        <f t="shared" si="43"/>
        <v>79.215004816618801</v>
      </c>
      <c r="AC169" s="239">
        <f t="shared" si="44"/>
        <v>26.230558231454911</v>
      </c>
      <c r="AD169" s="239">
        <f t="shared" si="48"/>
        <v>83</v>
      </c>
      <c r="AE169" s="239" t="b">
        <f t="shared" si="49"/>
        <v>0</v>
      </c>
      <c r="AF169" s="239">
        <f t="shared" si="57"/>
        <v>83</v>
      </c>
      <c r="AG169" s="239">
        <f t="shared" si="45"/>
        <v>28.333333333333332</v>
      </c>
      <c r="AH169" s="239">
        <f t="shared" si="46"/>
        <v>100</v>
      </c>
      <c r="AI169" s="238">
        <f t="shared" si="50"/>
        <v>84.003508455155469</v>
      </c>
      <c r="AJ169" s="238">
        <f t="shared" si="51"/>
        <v>80</v>
      </c>
      <c r="AK169" s="238">
        <f t="shared" si="52"/>
        <v>80</v>
      </c>
      <c r="AL169" s="238"/>
      <c r="AM169" s="240">
        <f t="shared" si="53"/>
        <v>3.1878749242251737E-2</v>
      </c>
      <c r="AN169" s="238">
        <f t="shared" si="54"/>
        <v>32.616508080617834</v>
      </c>
      <c r="AO169" s="240">
        <f t="shared" si="55"/>
        <v>3.7949306914091485E-2</v>
      </c>
      <c r="AP169" s="238">
        <f t="shared" si="56"/>
        <v>38.442647903974674</v>
      </c>
    </row>
    <row r="170" spans="1:42" ht="22.2" x14ac:dyDescent="0.7">
      <c r="A170" s="118"/>
      <c r="B170" s="118"/>
      <c r="C170" s="118"/>
      <c r="D170" s="118"/>
      <c r="R170" s="220">
        <v>7</v>
      </c>
      <c r="S170" s="220">
        <v>27</v>
      </c>
      <c r="T170" s="220">
        <v>24</v>
      </c>
      <c r="U170" s="220">
        <f t="shared" si="39"/>
        <v>28.888888888888889</v>
      </c>
      <c r="V170" s="237">
        <f t="shared" si="47"/>
        <v>35638.958333332928</v>
      </c>
      <c r="W170" s="234">
        <v>84</v>
      </c>
      <c r="X170" s="234">
        <f t="shared" si="40"/>
        <v>28.888888888888889</v>
      </c>
      <c r="Y170" s="234">
        <v>80</v>
      </c>
      <c r="Z170" s="238">
        <f t="shared" si="41"/>
        <v>78.913375719490261</v>
      </c>
      <c r="AA170" s="238">
        <f t="shared" si="42"/>
        <v>26.062986510827944</v>
      </c>
      <c r="AB170" s="239">
        <f t="shared" si="43"/>
        <v>80.185031789617696</v>
      </c>
      <c r="AC170" s="239">
        <f t="shared" si="44"/>
        <v>26.769462105343187</v>
      </c>
      <c r="AD170" s="239">
        <f t="shared" si="48"/>
        <v>84</v>
      </c>
      <c r="AE170" s="239" t="b">
        <f t="shared" si="49"/>
        <v>0</v>
      </c>
      <c r="AF170" s="239">
        <f t="shared" si="57"/>
        <v>84</v>
      </c>
      <c r="AG170" s="239">
        <f t="shared" si="45"/>
        <v>28.888888888888889</v>
      </c>
      <c r="AH170" s="239">
        <f t="shared" si="46"/>
        <v>100</v>
      </c>
      <c r="AI170" s="238">
        <f t="shared" si="50"/>
        <v>83.967815240688765</v>
      </c>
      <c r="AJ170" s="238">
        <f t="shared" si="51"/>
        <v>80</v>
      </c>
      <c r="AK170" s="238">
        <f t="shared" si="52"/>
        <v>80</v>
      </c>
      <c r="AL170" s="238"/>
      <c r="AM170" s="240">
        <f t="shared" si="53"/>
        <v>3.2906498050641046E-2</v>
      </c>
      <c r="AN170" s="238">
        <f t="shared" si="54"/>
        <v>33.661409636420743</v>
      </c>
      <c r="AO170" s="240">
        <f t="shared" si="55"/>
        <v>3.9189417941048625E-2</v>
      </c>
      <c r="AP170" s="238">
        <f t="shared" si="56"/>
        <v>39.698880374282254</v>
      </c>
    </row>
    <row r="171" spans="1:42" ht="22.2" x14ac:dyDescent="0.7">
      <c r="A171" s="118"/>
      <c r="B171" s="118"/>
      <c r="C171" s="118"/>
      <c r="D171" s="118"/>
      <c r="R171" s="220">
        <v>7</v>
      </c>
      <c r="S171" s="220">
        <v>28</v>
      </c>
      <c r="T171" s="220">
        <v>1</v>
      </c>
      <c r="U171" s="220">
        <f t="shared" si="39"/>
        <v>28.333333333333332</v>
      </c>
      <c r="V171" s="237">
        <f t="shared" si="47"/>
        <v>35638.999999999593</v>
      </c>
      <c r="W171" s="234">
        <v>83</v>
      </c>
      <c r="X171" s="234">
        <f t="shared" si="40"/>
        <v>28.333333333333332</v>
      </c>
      <c r="Y171" s="234">
        <v>80</v>
      </c>
      <c r="Z171" s="238">
        <f t="shared" si="41"/>
        <v>77.953339755491726</v>
      </c>
      <c r="AA171" s="238">
        <f t="shared" si="42"/>
        <v>25.529633197495425</v>
      </c>
      <c r="AB171" s="239">
        <f t="shared" si="43"/>
        <v>79.215004816618801</v>
      </c>
      <c r="AC171" s="239">
        <f t="shared" si="44"/>
        <v>26.230558231454911</v>
      </c>
      <c r="AD171" s="239">
        <f t="shared" si="48"/>
        <v>83</v>
      </c>
      <c r="AE171" s="239" t="b">
        <f t="shared" si="49"/>
        <v>0</v>
      </c>
      <c r="AF171" s="239">
        <f t="shared" si="57"/>
        <v>83</v>
      </c>
      <c r="AG171" s="239">
        <f t="shared" si="45"/>
        <v>28.333333333333332</v>
      </c>
      <c r="AH171" s="239">
        <f t="shared" si="46"/>
        <v>100</v>
      </c>
      <c r="AI171" s="238">
        <f t="shared" si="50"/>
        <v>84.003508455155469</v>
      </c>
      <c r="AJ171" s="238">
        <f t="shared" si="51"/>
        <v>80</v>
      </c>
      <c r="AK171" s="238">
        <f t="shared" si="52"/>
        <v>80</v>
      </c>
      <c r="AL171" s="238"/>
      <c r="AM171" s="240">
        <f t="shared" si="53"/>
        <v>3.1878749242251737E-2</v>
      </c>
      <c r="AN171" s="238">
        <f t="shared" si="54"/>
        <v>32.616508080617834</v>
      </c>
      <c r="AO171" s="240">
        <f t="shared" si="55"/>
        <v>3.7949306914091485E-2</v>
      </c>
      <c r="AP171" s="238">
        <f t="shared" si="56"/>
        <v>38.442647903974674</v>
      </c>
    </row>
    <row r="172" spans="1:42" ht="22.2" x14ac:dyDescent="0.7">
      <c r="A172" s="118"/>
      <c r="B172" s="118"/>
      <c r="C172" s="118"/>
      <c r="D172" s="118"/>
      <c r="R172" s="220">
        <v>7</v>
      </c>
      <c r="S172" s="220">
        <v>28</v>
      </c>
      <c r="T172" s="220">
        <v>2</v>
      </c>
      <c r="U172" s="220">
        <f t="shared" si="39"/>
        <v>27.222222222222221</v>
      </c>
      <c r="V172" s="237">
        <f t="shared" si="47"/>
        <v>35639.041666666257</v>
      </c>
      <c r="W172" s="234">
        <v>81</v>
      </c>
      <c r="X172" s="234">
        <f t="shared" si="40"/>
        <v>27.222222222222221</v>
      </c>
      <c r="Y172" s="234">
        <v>85</v>
      </c>
      <c r="Z172" s="238">
        <f t="shared" si="41"/>
        <v>77.3178113544094</v>
      </c>
      <c r="AA172" s="238">
        <f t="shared" si="42"/>
        <v>25.176561863560799</v>
      </c>
      <c r="AB172" s="239">
        <f t="shared" si="43"/>
        <v>78.23835851580705</v>
      </c>
      <c r="AC172" s="239">
        <f t="shared" si="44"/>
        <v>25.687976953226162</v>
      </c>
      <c r="AD172" s="239">
        <f t="shared" si="48"/>
        <v>81</v>
      </c>
      <c r="AE172" s="239" t="b">
        <f t="shared" si="49"/>
        <v>0</v>
      </c>
      <c r="AF172" s="239">
        <f t="shared" si="57"/>
        <v>81</v>
      </c>
      <c r="AG172" s="239">
        <f t="shared" si="45"/>
        <v>27.222222222222221</v>
      </c>
      <c r="AH172" s="239">
        <f t="shared" si="46"/>
        <v>100</v>
      </c>
      <c r="AI172" s="238">
        <f t="shared" si="50"/>
        <v>87.987452078881091</v>
      </c>
      <c r="AJ172" s="238">
        <f t="shared" si="51"/>
        <v>85</v>
      </c>
      <c r="AK172" s="238">
        <f t="shared" si="52"/>
        <v>85</v>
      </c>
      <c r="AL172" s="238"/>
      <c r="AM172" s="240">
        <f t="shared" si="53"/>
        <v>3.1298170316844405E-2</v>
      </c>
      <c r="AN172" s="238">
        <f t="shared" si="54"/>
        <v>31.940457509288166</v>
      </c>
      <c r="AO172" s="240">
        <f t="shared" si="55"/>
        <v>3.5571174727034346E-2</v>
      </c>
      <c r="AP172" s="238">
        <f t="shared" si="56"/>
        <v>36.033599998485791</v>
      </c>
    </row>
    <row r="173" spans="1:42" ht="22.2" x14ac:dyDescent="0.7">
      <c r="A173" s="118"/>
      <c r="B173" s="118"/>
      <c r="C173" s="118"/>
      <c r="D173" s="118"/>
      <c r="R173" s="220">
        <v>7</v>
      </c>
      <c r="S173" s="220">
        <v>28</v>
      </c>
      <c r="T173" s="220">
        <v>3</v>
      </c>
      <c r="U173" s="220">
        <f t="shared" si="39"/>
        <v>26.666666666666668</v>
      </c>
      <c r="V173" s="237">
        <f t="shared" si="47"/>
        <v>35639.083333332921</v>
      </c>
      <c r="W173" s="234">
        <v>80</v>
      </c>
      <c r="X173" s="234">
        <f t="shared" si="40"/>
        <v>26.666666666666668</v>
      </c>
      <c r="Y173" s="234">
        <v>88</v>
      </c>
      <c r="Z173" s="238">
        <f t="shared" si="41"/>
        <v>77.102360199528505</v>
      </c>
      <c r="AA173" s="238">
        <f t="shared" si="42"/>
        <v>25.056866777515857</v>
      </c>
      <c r="AB173" s="239">
        <f t="shared" si="43"/>
        <v>77.826770149646379</v>
      </c>
      <c r="AC173" s="239">
        <f t="shared" si="44"/>
        <v>25.459316749803566</v>
      </c>
      <c r="AD173" s="239">
        <f t="shared" si="48"/>
        <v>80</v>
      </c>
      <c r="AE173" s="239" t="b">
        <f t="shared" si="49"/>
        <v>0</v>
      </c>
      <c r="AF173" s="239">
        <f t="shared" si="57"/>
        <v>80</v>
      </c>
      <c r="AG173" s="239">
        <f t="shared" si="45"/>
        <v>26.666666666666668</v>
      </c>
      <c r="AH173" s="239">
        <f t="shared" si="46"/>
        <v>100</v>
      </c>
      <c r="AI173" s="238">
        <f t="shared" si="50"/>
        <v>90.394689842084333</v>
      </c>
      <c r="AJ173" s="238">
        <f t="shared" si="51"/>
        <v>88</v>
      </c>
      <c r="AK173" s="238">
        <f t="shared" si="52"/>
        <v>88</v>
      </c>
      <c r="AL173" s="238"/>
      <c r="AM173" s="240">
        <f t="shared" si="53"/>
        <v>3.1124308563715397E-2</v>
      </c>
      <c r="AN173" s="238">
        <f t="shared" si="54"/>
        <v>31.714058818995639</v>
      </c>
      <c r="AO173" s="240">
        <f t="shared" si="55"/>
        <v>3.4431567405218425E-2</v>
      </c>
      <c r="AP173" s="238">
        <f t="shared" si="56"/>
        <v>34.879177781486263</v>
      </c>
    </row>
    <row r="174" spans="1:42" ht="22.2" x14ac:dyDescent="0.7">
      <c r="A174" s="118"/>
      <c r="B174" s="118"/>
      <c r="C174" s="118"/>
      <c r="D174" s="118"/>
      <c r="R174" s="220">
        <v>7</v>
      </c>
      <c r="S174" s="220">
        <v>28</v>
      </c>
      <c r="T174" s="220">
        <v>4</v>
      </c>
      <c r="U174" s="220">
        <f t="shared" si="39"/>
        <v>26.666666666666668</v>
      </c>
      <c r="V174" s="237">
        <f t="shared" si="47"/>
        <v>35639.124999999585</v>
      </c>
      <c r="W174" s="234">
        <v>80</v>
      </c>
      <c r="X174" s="234">
        <f t="shared" si="40"/>
        <v>26.666666666666668</v>
      </c>
      <c r="Y174" s="234">
        <v>85</v>
      </c>
      <c r="Z174" s="238">
        <f t="shared" si="41"/>
        <v>76.344905095654411</v>
      </c>
      <c r="AA174" s="238">
        <f t="shared" si="42"/>
        <v>24.636058386474694</v>
      </c>
      <c r="AB174" s="239">
        <f t="shared" si="43"/>
        <v>77.258678821740801</v>
      </c>
      <c r="AC174" s="239">
        <f t="shared" si="44"/>
        <v>25.14371045652269</v>
      </c>
      <c r="AD174" s="239">
        <f t="shared" si="48"/>
        <v>80</v>
      </c>
      <c r="AE174" s="239" t="b">
        <f t="shared" si="49"/>
        <v>0</v>
      </c>
      <c r="AF174" s="239">
        <f t="shared" si="57"/>
        <v>80</v>
      </c>
      <c r="AG174" s="239">
        <f t="shared" si="45"/>
        <v>26.666666666666668</v>
      </c>
      <c r="AH174" s="239">
        <f t="shared" si="46"/>
        <v>100</v>
      </c>
      <c r="AI174" s="238">
        <f t="shared" si="50"/>
        <v>88.00770343184584</v>
      </c>
      <c r="AJ174" s="238">
        <f t="shared" si="51"/>
        <v>85</v>
      </c>
      <c r="AK174" s="238">
        <f t="shared" si="52"/>
        <v>85</v>
      </c>
      <c r="AL174" s="238"/>
      <c r="AM174" s="240">
        <f t="shared" si="53"/>
        <v>3.0302431728920731E-2</v>
      </c>
      <c r="AN174" s="238">
        <f t="shared" si="54"/>
        <v>30.929184759689246</v>
      </c>
      <c r="AO174" s="240">
        <f t="shared" si="55"/>
        <v>3.4431567405218425E-2</v>
      </c>
      <c r="AP174" s="238">
        <f t="shared" si="56"/>
        <v>34.879177781486263</v>
      </c>
    </row>
    <row r="175" spans="1:42" ht="22.2" x14ac:dyDescent="0.7">
      <c r="A175" s="118"/>
      <c r="B175" s="118"/>
      <c r="C175" s="118"/>
      <c r="D175" s="118"/>
      <c r="R175" s="220">
        <v>7</v>
      </c>
      <c r="S175" s="220">
        <v>28</v>
      </c>
      <c r="T175" s="220">
        <v>5</v>
      </c>
      <c r="U175" s="220">
        <f t="shared" si="39"/>
        <v>25.555555555555557</v>
      </c>
      <c r="V175" s="237">
        <f t="shared" si="47"/>
        <v>35639.16666666625</v>
      </c>
      <c r="W175" s="234">
        <v>78</v>
      </c>
      <c r="X175" s="234">
        <f t="shared" si="40"/>
        <v>25.555555555555557</v>
      </c>
      <c r="Y175" s="234">
        <v>91</v>
      </c>
      <c r="Z175" s="238">
        <f t="shared" si="41"/>
        <v>75.881775688564488</v>
      </c>
      <c r="AA175" s="238">
        <f t="shared" si="42"/>
        <v>24.378764271424735</v>
      </c>
      <c r="AB175" s="239">
        <f t="shared" si="43"/>
        <v>76.411331766423359</v>
      </c>
      <c r="AC175" s="239">
        <f t="shared" si="44"/>
        <v>24.672962092457443</v>
      </c>
      <c r="AD175" s="239">
        <f t="shared" si="48"/>
        <v>78</v>
      </c>
      <c r="AE175" s="239" t="b">
        <f t="shared" si="49"/>
        <v>0</v>
      </c>
      <c r="AF175" s="239">
        <f t="shared" si="57"/>
        <v>78</v>
      </c>
      <c r="AG175" s="239">
        <f t="shared" si="45"/>
        <v>25.555555555555557</v>
      </c>
      <c r="AH175" s="239">
        <f t="shared" si="46"/>
        <v>100</v>
      </c>
      <c r="AI175" s="238">
        <f t="shared" si="50"/>
        <v>92.825429994661562</v>
      </c>
      <c r="AJ175" s="238">
        <f t="shared" si="51"/>
        <v>91</v>
      </c>
      <c r="AK175" s="238">
        <f t="shared" si="52"/>
        <v>91</v>
      </c>
      <c r="AL175" s="238"/>
      <c r="AM175" s="240">
        <f t="shared" si="53"/>
        <v>2.9933801581416623E-2</v>
      </c>
      <c r="AN175" s="238">
        <f t="shared" si="54"/>
        <v>30.457683231086897</v>
      </c>
      <c r="AO175" s="240">
        <f t="shared" si="55"/>
        <v>3.2247414941291554E-2</v>
      </c>
      <c r="AP175" s="238">
        <f t="shared" si="56"/>
        <v>32.666631335528344</v>
      </c>
    </row>
    <row r="176" spans="1:42" ht="22.2" x14ac:dyDescent="0.7">
      <c r="A176" s="118"/>
      <c r="B176" s="118"/>
      <c r="C176" s="118"/>
      <c r="D176" s="118"/>
      <c r="R176" s="220">
        <v>7</v>
      </c>
      <c r="S176" s="220">
        <v>28</v>
      </c>
      <c r="T176" s="220">
        <v>6</v>
      </c>
      <c r="U176" s="220">
        <f t="shared" si="39"/>
        <v>25.555555555555557</v>
      </c>
      <c r="V176" s="237">
        <f t="shared" si="47"/>
        <v>35639.208333332914</v>
      </c>
      <c r="W176" s="234">
        <v>78</v>
      </c>
      <c r="X176" s="234">
        <f t="shared" si="40"/>
        <v>25.555555555555557</v>
      </c>
      <c r="Y176" s="234">
        <v>94</v>
      </c>
      <c r="Z176" s="238">
        <f t="shared" si="41"/>
        <v>76.619310826419721</v>
      </c>
      <c r="AA176" s="238">
        <f t="shared" si="42"/>
        <v>24.788506014677644</v>
      </c>
      <c r="AB176" s="239">
        <f t="shared" si="43"/>
        <v>76.964483119814787</v>
      </c>
      <c r="AC176" s="239">
        <f t="shared" si="44"/>
        <v>24.980268399897124</v>
      </c>
      <c r="AD176" s="239">
        <f t="shared" si="48"/>
        <v>78</v>
      </c>
      <c r="AE176" s="239" t="b">
        <f t="shared" si="49"/>
        <v>0</v>
      </c>
      <c r="AF176" s="239">
        <f t="shared" si="57"/>
        <v>78</v>
      </c>
      <c r="AG176" s="239">
        <f t="shared" si="45"/>
        <v>25.555555555555557</v>
      </c>
      <c r="AH176" s="239">
        <f t="shared" si="46"/>
        <v>100</v>
      </c>
      <c r="AI176" s="238">
        <f t="shared" si="50"/>
        <v>95.276000869150565</v>
      </c>
      <c r="AJ176" s="238">
        <f t="shared" si="51"/>
        <v>94</v>
      </c>
      <c r="AK176" s="238">
        <f t="shared" si="52"/>
        <v>94</v>
      </c>
      <c r="AL176" s="238"/>
      <c r="AM176" s="240">
        <f t="shared" si="53"/>
        <v>3.0724047339743529E-2</v>
      </c>
      <c r="AN176" s="238">
        <f t="shared" si="54"/>
        <v>31.211543920694684</v>
      </c>
      <c r="AO176" s="240">
        <f t="shared" si="55"/>
        <v>3.2247414941291554E-2</v>
      </c>
      <c r="AP176" s="238">
        <f t="shared" si="56"/>
        <v>32.666631335528344</v>
      </c>
    </row>
    <row r="177" spans="1:42" ht="22.2" x14ac:dyDescent="0.7">
      <c r="A177" s="118"/>
      <c r="B177" s="118"/>
      <c r="C177" s="118"/>
      <c r="D177" s="118"/>
      <c r="R177" s="220">
        <v>7</v>
      </c>
      <c r="S177" s="220">
        <v>28</v>
      </c>
      <c r="T177" s="220">
        <v>7</v>
      </c>
      <c r="U177" s="220">
        <f t="shared" si="39"/>
        <v>27.777777777777779</v>
      </c>
      <c r="V177" s="237">
        <f t="shared" si="47"/>
        <v>35639.249999999578</v>
      </c>
      <c r="W177" s="234">
        <v>82</v>
      </c>
      <c r="X177" s="234">
        <f t="shared" si="40"/>
        <v>27.777777777777779</v>
      </c>
      <c r="Y177" s="234">
        <v>85</v>
      </c>
      <c r="Z177" s="238">
        <f t="shared" si="41"/>
        <v>78.290716827091941</v>
      </c>
      <c r="AA177" s="238">
        <f t="shared" si="42"/>
        <v>25.717064903939988</v>
      </c>
      <c r="AB177" s="239">
        <f t="shared" si="43"/>
        <v>79.218037620318952</v>
      </c>
      <c r="AC177" s="239">
        <f t="shared" si="44"/>
        <v>26.232243122399439</v>
      </c>
      <c r="AD177" s="239">
        <f t="shared" si="48"/>
        <v>82</v>
      </c>
      <c r="AE177" s="239" t="b">
        <f t="shared" si="49"/>
        <v>0</v>
      </c>
      <c r="AF177" s="239">
        <f t="shared" si="57"/>
        <v>82</v>
      </c>
      <c r="AG177" s="239">
        <f t="shared" si="45"/>
        <v>27.777777777777779</v>
      </c>
      <c r="AH177" s="239">
        <f t="shared" si="46"/>
        <v>100</v>
      </c>
      <c r="AI177" s="238">
        <f t="shared" si="50"/>
        <v>87.967175854862319</v>
      </c>
      <c r="AJ177" s="238">
        <f t="shared" si="51"/>
        <v>85</v>
      </c>
      <c r="AK177" s="238">
        <f t="shared" si="52"/>
        <v>85</v>
      </c>
      <c r="AL177" s="238"/>
      <c r="AM177" s="240">
        <f t="shared" si="53"/>
        <v>3.2322212815417264E-2</v>
      </c>
      <c r="AN177" s="238">
        <f t="shared" si="54"/>
        <v>32.980439614597593</v>
      </c>
      <c r="AO177" s="240">
        <f t="shared" si="55"/>
        <v>3.6743492673614889E-2</v>
      </c>
      <c r="AP177" s="238">
        <f t="shared" si="56"/>
        <v>37.221158078371879</v>
      </c>
    </row>
    <row r="178" spans="1:42" ht="22.2" x14ac:dyDescent="0.7">
      <c r="A178" s="118"/>
      <c r="B178" s="118"/>
      <c r="C178" s="118"/>
      <c r="D178" s="118"/>
      <c r="R178" s="220">
        <v>7</v>
      </c>
      <c r="S178" s="220">
        <v>28</v>
      </c>
      <c r="T178" s="220">
        <v>8</v>
      </c>
      <c r="U178" s="220">
        <f t="shared" si="39"/>
        <v>30</v>
      </c>
      <c r="V178" s="237">
        <f t="shared" si="47"/>
        <v>35639.291666666242</v>
      </c>
      <c r="W178" s="234">
        <v>86</v>
      </c>
      <c r="X178" s="234">
        <f t="shared" si="40"/>
        <v>30</v>
      </c>
      <c r="Y178" s="234">
        <v>77</v>
      </c>
      <c r="Z178" s="238">
        <f t="shared" si="41"/>
        <v>80.014936573181245</v>
      </c>
      <c r="AA178" s="238">
        <f t="shared" si="42"/>
        <v>26.674964762878492</v>
      </c>
      <c r="AB178" s="239">
        <f t="shared" si="43"/>
        <v>81.511202429885941</v>
      </c>
      <c r="AC178" s="239">
        <f t="shared" si="44"/>
        <v>27.506223572158881</v>
      </c>
      <c r="AD178" s="239">
        <f t="shared" si="48"/>
        <v>86</v>
      </c>
      <c r="AE178" s="239" t="b">
        <f t="shared" si="49"/>
        <v>0</v>
      </c>
      <c r="AF178" s="239">
        <f t="shared" si="57"/>
        <v>86</v>
      </c>
      <c r="AG178" s="239">
        <f t="shared" si="45"/>
        <v>30</v>
      </c>
      <c r="AH178" s="239">
        <f t="shared" si="46"/>
        <v>100</v>
      </c>
      <c r="AI178" s="238">
        <f t="shared" si="50"/>
        <v>81.546646548719394</v>
      </c>
      <c r="AJ178" s="238">
        <f t="shared" si="51"/>
        <v>77</v>
      </c>
      <c r="AK178" s="238">
        <f t="shared" si="52"/>
        <v>77</v>
      </c>
      <c r="AL178" s="238"/>
      <c r="AM178" s="240">
        <f t="shared" si="53"/>
        <v>3.4066770153648153E-2</v>
      </c>
      <c r="AN178" s="238">
        <f t="shared" si="54"/>
        <v>34.896180941872359</v>
      </c>
      <c r="AO178" s="240">
        <f t="shared" si="55"/>
        <v>4.177580758430726E-2</v>
      </c>
      <c r="AP178" s="238">
        <f t="shared" si="56"/>
        <v>42.318893082903251</v>
      </c>
    </row>
    <row r="179" spans="1:42" ht="22.2" x14ac:dyDescent="0.7">
      <c r="A179" s="118"/>
      <c r="B179" s="118"/>
      <c r="C179" s="118"/>
      <c r="D179" s="118"/>
      <c r="R179" s="220">
        <v>7</v>
      </c>
      <c r="S179" s="220">
        <v>28</v>
      </c>
      <c r="T179" s="220">
        <v>9</v>
      </c>
      <c r="U179" s="220">
        <f t="shared" si="39"/>
        <v>31.666666666666668</v>
      </c>
      <c r="V179" s="237">
        <f t="shared" si="47"/>
        <v>35639.333333332906</v>
      </c>
      <c r="W179" s="234">
        <v>89</v>
      </c>
      <c r="X179" s="234">
        <f t="shared" si="40"/>
        <v>31.666666666666668</v>
      </c>
      <c r="Y179" s="234">
        <v>68</v>
      </c>
      <c r="Z179" s="238">
        <f t="shared" si="41"/>
        <v>80.283220881754104</v>
      </c>
      <c r="AA179" s="238">
        <f t="shared" si="42"/>
        <v>26.824011600974526</v>
      </c>
      <c r="AB179" s="239">
        <f t="shared" si="43"/>
        <v>82.462415661315575</v>
      </c>
      <c r="AC179" s="239">
        <f t="shared" si="44"/>
        <v>28.034675367397565</v>
      </c>
      <c r="AD179" s="239">
        <f t="shared" si="48"/>
        <v>89</v>
      </c>
      <c r="AE179" s="239" t="b">
        <f t="shared" si="49"/>
        <v>0</v>
      </c>
      <c r="AF179" s="239">
        <f t="shared" si="57"/>
        <v>89</v>
      </c>
      <c r="AG179" s="239">
        <f t="shared" si="45"/>
        <v>31.666666666666668</v>
      </c>
      <c r="AH179" s="239">
        <f t="shared" si="46"/>
        <v>100</v>
      </c>
      <c r="AI179" s="238">
        <f t="shared" si="50"/>
        <v>74.444675803515054</v>
      </c>
      <c r="AJ179" s="238">
        <f t="shared" si="51"/>
        <v>68</v>
      </c>
      <c r="AK179" s="238">
        <f t="shared" si="52"/>
        <v>68</v>
      </c>
      <c r="AL179" s="238"/>
      <c r="AM179" s="240">
        <f t="shared" si="53"/>
        <v>3.4195047986526499E-2</v>
      </c>
      <c r="AN179" s="238">
        <f t="shared" si="54"/>
        <v>35.202816499838207</v>
      </c>
      <c r="AO179" s="240">
        <f t="shared" si="55"/>
        <v>4.5933503796535997E-2</v>
      </c>
      <c r="AP179" s="238">
        <f t="shared" si="56"/>
        <v>46.530639345890968</v>
      </c>
    </row>
    <row r="180" spans="1:42" ht="22.2" x14ac:dyDescent="0.7">
      <c r="A180" s="118"/>
      <c r="B180" s="118"/>
      <c r="C180" s="118"/>
      <c r="D180" s="118"/>
      <c r="R180" s="220">
        <v>7</v>
      </c>
      <c r="S180" s="220">
        <v>28</v>
      </c>
      <c r="T180" s="220">
        <v>10</v>
      </c>
      <c r="U180" s="220">
        <f t="shared" si="39"/>
        <v>33.333333333333336</v>
      </c>
      <c r="V180" s="237">
        <f t="shared" si="47"/>
        <v>35639.374999999571</v>
      </c>
      <c r="W180" s="234">
        <v>92</v>
      </c>
      <c r="X180" s="234">
        <f t="shared" si="40"/>
        <v>33.333333333333336</v>
      </c>
      <c r="Y180" s="234">
        <v>60</v>
      </c>
      <c r="Z180" s="238">
        <f t="shared" si="41"/>
        <v>80.583270524501287</v>
      </c>
      <c r="AA180" s="238">
        <f t="shared" si="42"/>
        <v>26.990705846945183</v>
      </c>
      <c r="AB180" s="239">
        <f t="shared" si="43"/>
        <v>83.437452893375962</v>
      </c>
      <c r="AC180" s="239">
        <f t="shared" si="44"/>
        <v>28.576362718542224</v>
      </c>
      <c r="AD180" s="239">
        <f t="shared" si="48"/>
        <v>92</v>
      </c>
      <c r="AE180" s="239" t="b">
        <f t="shared" si="49"/>
        <v>0</v>
      </c>
      <c r="AF180" s="239">
        <f t="shared" si="57"/>
        <v>92</v>
      </c>
      <c r="AG180" s="239">
        <f t="shared" si="45"/>
        <v>33.333333333333336</v>
      </c>
      <c r="AH180" s="239">
        <f t="shared" si="46"/>
        <v>100</v>
      </c>
      <c r="AI180" s="238">
        <f t="shared" si="50"/>
        <v>68.119578009918868</v>
      </c>
      <c r="AJ180" s="238">
        <f t="shared" si="51"/>
        <v>60</v>
      </c>
      <c r="AK180" s="238">
        <f t="shared" si="52"/>
        <v>60</v>
      </c>
      <c r="AL180" s="238"/>
      <c r="AM180" s="240">
        <f t="shared" si="53"/>
        <v>3.4363665512910237E-2</v>
      </c>
      <c r="AN180" s="238">
        <f t="shared" si="54"/>
        <v>35.548536294400961</v>
      </c>
      <c r="AO180" s="240">
        <f t="shared" si="55"/>
        <v>5.0446092763385228E-2</v>
      </c>
      <c r="AP180" s="238">
        <f t="shared" si="56"/>
        <v>51.101891969309236</v>
      </c>
    </row>
    <row r="181" spans="1:42" ht="22.2" x14ac:dyDescent="0.7">
      <c r="A181" s="118"/>
      <c r="B181" s="118"/>
      <c r="C181" s="118"/>
      <c r="D181" s="118"/>
      <c r="R181" s="220">
        <v>7</v>
      </c>
      <c r="S181" s="220">
        <v>28</v>
      </c>
      <c r="T181" s="220">
        <v>11</v>
      </c>
      <c r="U181" s="220">
        <f t="shared" si="39"/>
        <v>34.444444444444443</v>
      </c>
      <c r="V181" s="237">
        <f t="shared" si="47"/>
        <v>35639.416666666235</v>
      </c>
      <c r="W181" s="234">
        <v>94</v>
      </c>
      <c r="X181" s="234">
        <f t="shared" si="40"/>
        <v>34.444444444444443</v>
      </c>
      <c r="Y181" s="234">
        <v>54</v>
      </c>
      <c r="Z181" s="238">
        <f t="shared" si="41"/>
        <v>80.392019090212528</v>
      </c>
      <c r="AA181" s="238">
        <f t="shared" si="42"/>
        <v>26.884455050118095</v>
      </c>
      <c r="AB181" s="239">
        <f t="shared" si="43"/>
        <v>83.794014317659389</v>
      </c>
      <c r="AC181" s="239">
        <f t="shared" si="44"/>
        <v>28.774452398699687</v>
      </c>
      <c r="AD181" s="239">
        <f t="shared" si="48"/>
        <v>94</v>
      </c>
      <c r="AE181" s="239" t="b">
        <f t="shared" si="49"/>
        <v>0</v>
      </c>
      <c r="AF181" s="239">
        <f t="shared" si="57"/>
        <v>94</v>
      </c>
      <c r="AG181" s="239">
        <f t="shared" si="45"/>
        <v>34.444444444444443</v>
      </c>
      <c r="AH181" s="239">
        <f t="shared" si="46"/>
        <v>100</v>
      </c>
      <c r="AI181" s="238">
        <f t="shared" si="50"/>
        <v>63.370425906253736</v>
      </c>
      <c r="AJ181" s="238">
        <f t="shared" si="51"/>
        <v>54</v>
      </c>
      <c r="AK181" s="238">
        <f t="shared" si="52"/>
        <v>54</v>
      </c>
      <c r="AL181" s="238"/>
      <c r="AM181" s="240">
        <f t="shared" si="53"/>
        <v>3.4007068579557813E-2</v>
      </c>
      <c r="AN181" s="238">
        <f t="shared" si="54"/>
        <v>35.327834742840679</v>
      </c>
      <c r="AO181" s="240">
        <f t="shared" si="55"/>
        <v>5.3663941962242376E-2</v>
      </c>
      <c r="AP181" s="238">
        <f t="shared" si="56"/>
        <v>54.361573207751526</v>
      </c>
    </row>
    <row r="182" spans="1:42" ht="22.2" x14ac:dyDescent="0.7">
      <c r="A182" s="118"/>
      <c r="B182" s="118"/>
      <c r="C182" s="118"/>
      <c r="D182" s="118"/>
      <c r="R182" s="220">
        <v>7</v>
      </c>
      <c r="S182" s="220">
        <v>28</v>
      </c>
      <c r="T182" s="220">
        <v>12</v>
      </c>
      <c r="U182" s="220">
        <f t="shared" si="39"/>
        <v>35</v>
      </c>
      <c r="V182" s="237">
        <f t="shared" si="47"/>
        <v>35639.458333332899</v>
      </c>
      <c r="W182" s="234">
        <v>95</v>
      </c>
      <c r="X182" s="234">
        <f t="shared" si="40"/>
        <v>35</v>
      </c>
      <c r="Y182" s="234">
        <v>49</v>
      </c>
      <c r="Z182" s="238">
        <f t="shared" si="41"/>
        <v>79.514659106763773</v>
      </c>
      <c r="AA182" s="238">
        <f t="shared" si="42"/>
        <v>26.397032837091007</v>
      </c>
      <c r="AB182" s="239">
        <f t="shared" si="43"/>
        <v>83.385994330072833</v>
      </c>
      <c r="AC182" s="239">
        <f t="shared" si="44"/>
        <v>28.547774627818264</v>
      </c>
      <c r="AD182" s="239">
        <f t="shared" si="48"/>
        <v>95</v>
      </c>
      <c r="AE182" s="239" t="b">
        <f t="shared" si="49"/>
        <v>0</v>
      </c>
      <c r="AF182" s="239">
        <f t="shared" si="57"/>
        <v>95</v>
      </c>
      <c r="AG182" s="239">
        <f t="shared" si="45"/>
        <v>35</v>
      </c>
      <c r="AH182" s="239">
        <f t="shared" si="46"/>
        <v>100</v>
      </c>
      <c r="AI182" s="238">
        <f t="shared" si="50"/>
        <v>59.464708594212432</v>
      </c>
      <c r="AJ182" s="238">
        <f t="shared" si="51"/>
        <v>49</v>
      </c>
      <c r="AK182" s="238">
        <f t="shared" si="52"/>
        <v>49</v>
      </c>
      <c r="AL182" s="238"/>
      <c r="AM182" s="240">
        <f t="shared" si="53"/>
        <v>3.2906926371540073E-2</v>
      </c>
      <c r="AN182" s="238">
        <f t="shared" si="54"/>
        <v>34.330599440074863</v>
      </c>
      <c r="AO182" s="240">
        <f t="shared" si="55"/>
        <v>5.5338581739460213E-2</v>
      </c>
      <c r="AP182" s="238">
        <f t="shared" si="56"/>
        <v>56.057983302073197</v>
      </c>
    </row>
    <row r="183" spans="1:42" ht="22.2" x14ac:dyDescent="0.7">
      <c r="A183" s="118"/>
      <c r="B183" s="118"/>
      <c r="C183" s="118"/>
      <c r="D183" s="118"/>
      <c r="R183" s="220">
        <v>7</v>
      </c>
      <c r="S183" s="220">
        <v>28</v>
      </c>
      <c r="T183" s="220">
        <v>13</v>
      </c>
      <c r="U183" s="220">
        <f t="shared" si="39"/>
        <v>34.444444444444443</v>
      </c>
      <c r="V183" s="237">
        <f t="shared" si="47"/>
        <v>35639.499999999563</v>
      </c>
      <c r="W183" s="234">
        <v>94</v>
      </c>
      <c r="X183" s="234">
        <f t="shared" si="40"/>
        <v>34.444444444444443</v>
      </c>
      <c r="Y183" s="234">
        <v>51</v>
      </c>
      <c r="Z183" s="238">
        <f t="shared" si="41"/>
        <v>79.361617460269144</v>
      </c>
      <c r="AA183" s="238">
        <f t="shared" si="42"/>
        <v>26.312009700149545</v>
      </c>
      <c r="AB183" s="239">
        <f t="shared" si="43"/>
        <v>83.021213095201858</v>
      </c>
      <c r="AC183" s="239">
        <f t="shared" si="44"/>
        <v>28.34511838622328</v>
      </c>
      <c r="AD183" s="239">
        <f t="shared" si="48"/>
        <v>94</v>
      </c>
      <c r="AE183" s="239" t="b">
        <f t="shared" si="49"/>
        <v>0</v>
      </c>
      <c r="AF183" s="239">
        <f t="shared" si="57"/>
        <v>94</v>
      </c>
      <c r="AG183" s="239">
        <f t="shared" si="45"/>
        <v>34.444444444444443</v>
      </c>
      <c r="AH183" s="239">
        <f t="shared" si="46"/>
        <v>100</v>
      </c>
      <c r="AI183" s="238">
        <f t="shared" si="50"/>
        <v>61.105969546079955</v>
      </c>
      <c r="AJ183" s="238">
        <f t="shared" si="51"/>
        <v>51</v>
      </c>
      <c r="AK183" s="238">
        <f t="shared" si="52"/>
        <v>51</v>
      </c>
      <c r="AL183" s="238"/>
      <c r="AM183" s="240">
        <f t="shared" si="53"/>
        <v>3.2791872032673849E-2</v>
      </c>
      <c r="AN183" s="238">
        <f t="shared" si="54"/>
        <v>34.159183604030389</v>
      </c>
      <c r="AO183" s="240">
        <f t="shared" si="55"/>
        <v>5.3663941962242376E-2</v>
      </c>
      <c r="AP183" s="238">
        <f t="shared" si="56"/>
        <v>54.361573207751526</v>
      </c>
    </row>
    <row r="184" spans="1:42" ht="22.2" x14ac:dyDescent="0.7">
      <c r="A184" s="118"/>
      <c r="B184" s="118"/>
      <c r="C184" s="118"/>
      <c r="D184" s="118"/>
      <c r="R184" s="220">
        <v>7</v>
      </c>
      <c r="S184" s="220">
        <v>28</v>
      </c>
      <c r="T184" s="220">
        <v>14</v>
      </c>
      <c r="U184" s="220">
        <f t="shared" si="39"/>
        <v>36.111111111111114</v>
      </c>
      <c r="V184" s="237">
        <f t="shared" si="47"/>
        <v>35639.541666666228</v>
      </c>
      <c r="W184" s="234">
        <v>97</v>
      </c>
      <c r="X184" s="234">
        <f t="shared" si="40"/>
        <v>36.111111111111114</v>
      </c>
      <c r="Y184" s="234">
        <v>42</v>
      </c>
      <c r="Z184" s="238">
        <f t="shared" si="41"/>
        <v>78.55526232331988</v>
      </c>
      <c r="AA184" s="238">
        <f t="shared" si="42"/>
        <v>25.864034624066623</v>
      </c>
      <c r="AB184" s="239">
        <f t="shared" si="43"/>
        <v>83.16644674248991</v>
      </c>
      <c r="AC184" s="239">
        <f t="shared" si="44"/>
        <v>28.425803745827753</v>
      </c>
      <c r="AD184" s="239">
        <f t="shared" si="48"/>
        <v>97</v>
      </c>
      <c r="AE184" s="239" t="b">
        <f t="shared" si="49"/>
        <v>0</v>
      </c>
      <c r="AF184" s="239">
        <f t="shared" si="57"/>
        <v>97</v>
      </c>
      <c r="AG184" s="239">
        <f t="shared" si="45"/>
        <v>36.111111111111114</v>
      </c>
      <c r="AH184" s="239">
        <f t="shared" si="46"/>
        <v>100</v>
      </c>
      <c r="AI184" s="238">
        <f t="shared" si="50"/>
        <v>53.847918467185728</v>
      </c>
      <c r="AJ184" s="238">
        <f t="shared" si="51"/>
        <v>42</v>
      </c>
      <c r="AK184" s="238">
        <f t="shared" si="52"/>
        <v>42</v>
      </c>
      <c r="AL184" s="238"/>
      <c r="AM184" s="240">
        <f t="shared" si="53"/>
        <v>3.1675639059224492E-2</v>
      </c>
      <c r="AN184" s="238">
        <f t="shared" si="54"/>
        <v>33.268277990124943</v>
      </c>
      <c r="AO184" s="240">
        <f t="shared" si="55"/>
        <v>5.8824259063100542E-2</v>
      </c>
      <c r="AP184" s="238">
        <f t="shared" si="56"/>
        <v>59.58897443092085</v>
      </c>
    </row>
    <row r="185" spans="1:42" ht="22.2" x14ac:dyDescent="0.7">
      <c r="A185" s="118"/>
      <c r="B185" s="118"/>
      <c r="C185" s="118"/>
      <c r="D185" s="118"/>
      <c r="R185" s="220">
        <v>7</v>
      </c>
      <c r="S185" s="220">
        <v>28</v>
      </c>
      <c r="T185" s="220">
        <v>15</v>
      </c>
      <c r="U185" s="220">
        <f t="shared" si="39"/>
        <v>36.111111111111114</v>
      </c>
      <c r="V185" s="237">
        <f t="shared" si="47"/>
        <v>35639.583333332892</v>
      </c>
      <c r="W185" s="234">
        <v>97</v>
      </c>
      <c r="X185" s="234">
        <f t="shared" si="40"/>
        <v>36.111111111111114</v>
      </c>
      <c r="Y185" s="234">
        <v>42</v>
      </c>
      <c r="Z185" s="238">
        <f t="shared" si="41"/>
        <v>78.55526232331988</v>
      </c>
      <c r="AA185" s="238">
        <f t="shared" si="42"/>
        <v>25.864034624066623</v>
      </c>
      <c r="AB185" s="239">
        <f t="shared" si="43"/>
        <v>83.16644674248991</v>
      </c>
      <c r="AC185" s="239">
        <f t="shared" si="44"/>
        <v>28.425803745827753</v>
      </c>
      <c r="AD185" s="239">
        <f t="shared" si="48"/>
        <v>97</v>
      </c>
      <c r="AE185" s="239" t="b">
        <f t="shared" si="49"/>
        <v>0</v>
      </c>
      <c r="AF185" s="239">
        <f t="shared" si="57"/>
        <v>97</v>
      </c>
      <c r="AG185" s="239">
        <f t="shared" si="45"/>
        <v>36.111111111111114</v>
      </c>
      <c r="AH185" s="239">
        <f t="shared" si="46"/>
        <v>100</v>
      </c>
      <c r="AI185" s="238">
        <f t="shared" si="50"/>
        <v>53.847918467185728</v>
      </c>
      <c r="AJ185" s="238">
        <f t="shared" si="51"/>
        <v>42</v>
      </c>
      <c r="AK185" s="238">
        <f t="shared" si="52"/>
        <v>42</v>
      </c>
      <c r="AL185" s="238"/>
      <c r="AM185" s="240">
        <f t="shared" si="53"/>
        <v>3.1675639059224492E-2</v>
      </c>
      <c r="AN185" s="238">
        <f t="shared" si="54"/>
        <v>33.268277990124943</v>
      </c>
      <c r="AO185" s="240">
        <f t="shared" si="55"/>
        <v>5.8824259063100542E-2</v>
      </c>
      <c r="AP185" s="238">
        <f t="shared" si="56"/>
        <v>59.58897443092085</v>
      </c>
    </row>
    <row r="186" spans="1:42" ht="22.2" x14ac:dyDescent="0.7">
      <c r="A186" s="118"/>
      <c r="B186" s="118"/>
      <c r="C186" s="118"/>
      <c r="D186" s="118"/>
      <c r="R186" s="220">
        <v>7</v>
      </c>
      <c r="S186" s="220">
        <v>28</v>
      </c>
      <c r="T186" s="220">
        <v>16</v>
      </c>
      <c r="U186" s="220">
        <f t="shared" si="39"/>
        <v>36.111111111111114</v>
      </c>
      <c r="V186" s="237">
        <f t="shared" si="47"/>
        <v>35639.624999999556</v>
      </c>
      <c r="W186" s="234">
        <v>97</v>
      </c>
      <c r="X186" s="234">
        <f t="shared" si="40"/>
        <v>36.111111111111114</v>
      </c>
      <c r="Y186" s="234">
        <v>43</v>
      </c>
      <c r="Z186" s="238">
        <f t="shared" si="41"/>
        <v>78.949778704008651</v>
      </c>
      <c r="AA186" s="238">
        <f t="shared" si="42"/>
        <v>26.083210391115941</v>
      </c>
      <c r="AB186" s="239">
        <f t="shared" si="43"/>
        <v>83.462334028006495</v>
      </c>
      <c r="AC186" s="239">
        <f t="shared" si="44"/>
        <v>28.590185571114745</v>
      </c>
      <c r="AD186" s="239">
        <f t="shared" si="48"/>
        <v>97</v>
      </c>
      <c r="AE186" s="239" t="b">
        <f t="shared" si="49"/>
        <v>0</v>
      </c>
      <c r="AF186" s="239">
        <f t="shared" si="57"/>
        <v>97</v>
      </c>
      <c r="AG186" s="239">
        <f t="shared" si="45"/>
        <v>36.111111111111114</v>
      </c>
      <c r="AH186" s="239">
        <f t="shared" si="46"/>
        <v>100</v>
      </c>
      <c r="AI186" s="238">
        <f t="shared" si="50"/>
        <v>54.614269302551179</v>
      </c>
      <c r="AJ186" s="238">
        <f t="shared" si="51"/>
        <v>43</v>
      </c>
      <c r="AK186" s="238">
        <f t="shared" si="52"/>
        <v>43</v>
      </c>
      <c r="AL186" s="238"/>
      <c r="AM186" s="240">
        <f t="shared" si="53"/>
        <v>3.2126439259952101E-2</v>
      </c>
      <c r="AN186" s="238">
        <f t="shared" si="54"/>
        <v>33.701598066496302</v>
      </c>
      <c r="AO186" s="240">
        <f t="shared" si="55"/>
        <v>5.8824259063100542E-2</v>
      </c>
      <c r="AP186" s="238">
        <f t="shared" si="56"/>
        <v>59.58897443092085</v>
      </c>
    </row>
    <row r="187" spans="1:42" ht="22.2" x14ac:dyDescent="0.7">
      <c r="A187" s="118"/>
      <c r="B187" s="118"/>
      <c r="C187" s="118"/>
      <c r="D187" s="118"/>
      <c r="R187" s="220">
        <v>7</v>
      </c>
      <c r="S187" s="220">
        <v>28</v>
      </c>
      <c r="T187" s="220">
        <v>17</v>
      </c>
      <c r="U187" s="220">
        <f t="shared" si="39"/>
        <v>35</v>
      </c>
      <c r="V187" s="237">
        <f t="shared" si="47"/>
        <v>35639.66666666622</v>
      </c>
      <c r="W187" s="234">
        <v>95</v>
      </c>
      <c r="X187" s="234">
        <f t="shared" si="40"/>
        <v>35</v>
      </c>
      <c r="Y187" s="234">
        <v>46</v>
      </c>
      <c r="Z187" s="238">
        <f t="shared" si="41"/>
        <v>78.421934155765356</v>
      </c>
      <c r="AA187" s="238">
        <f t="shared" si="42"/>
        <v>25.789963419869665</v>
      </c>
      <c r="AB187" s="239">
        <f t="shared" si="43"/>
        <v>82.566450616824014</v>
      </c>
      <c r="AC187" s="239">
        <f t="shared" si="44"/>
        <v>28.092472564902252</v>
      </c>
      <c r="AD187" s="239">
        <f t="shared" si="48"/>
        <v>95</v>
      </c>
      <c r="AE187" s="239" t="b">
        <f t="shared" si="49"/>
        <v>0</v>
      </c>
      <c r="AF187" s="239">
        <f t="shared" si="57"/>
        <v>95</v>
      </c>
      <c r="AG187" s="239">
        <f t="shared" si="45"/>
        <v>35</v>
      </c>
      <c r="AH187" s="239">
        <f t="shared" si="46"/>
        <v>100</v>
      </c>
      <c r="AI187" s="238">
        <f t="shared" si="50"/>
        <v>57.193795373158729</v>
      </c>
      <c r="AJ187" s="238">
        <f t="shared" si="51"/>
        <v>46</v>
      </c>
      <c r="AK187" s="238">
        <f t="shared" si="52"/>
        <v>46</v>
      </c>
      <c r="AL187" s="238"/>
      <c r="AM187" s="240">
        <f t="shared" si="53"/>
        <v>3.1650235202475056E-2</v>
      </c>
      <c r="AN187" s="238">
        <f t="shared" si="54"/>
        <v>33.122937959264355</v>
      </c>
      <c r="AO187" s="240">
        <f t="shared" si="55"/>
        <v>5.5338581739460213E-2</v>
      </c>
      <c r="AP187" s="238">
        <f t="shared" si="56"/>
        <v>56.057983302073197</v>
      </c>
    </row>
    <row r="188" spans="1:42" ht="22.2" x14ac:dyDescent="0.7">
      <c r="A188" s="118"/>
      <c r="B188" s="118"/>
      <c r="C188" s="118"/>
      <c r="D188" s="118"/>
      <c r="R188" s="220">
        <v>7</v>
      </c>
      <c r="S188" s="220">
        <v>28</v>
      </c>
      <c r="T188" s="220">
        <v>18</v>
      </c>
      <c r="U188" s="220">
        <f t="shared" si="39"/>
        <v>34.444444444444443</v>
      </c>
      <c r="V188" s="237">
        <f t="shared" si="47"/>
        <v>35639.708333332885</v>
      </c>
      <c r="W188" s="234">
        <v>94</v>
      </c>
      <c r="X188" s="234">
        <f t="shared" si="40"/>
        <v>34.444444444444443</v>
      </c>
      <c r="Y188" s="234">
        <v>49</v>
      </c>
      <c r="Z188" s="238">
        <f t="shared" si="41"/>
        <v>78.659225333997355</v>
      </c>
      <c r="AA188" s="238">
        <f t="shared" si="42"/>
        <v>25.921791852220775</v>
      </c>
      <c r="AB188" s="239">
        <f t="shared" si="43"/>
        <v>82.494419000498013</v>
      </c>
      <c r="AC188" s="239">
        <f t="shared" si="44"/>
        <v>28.052455000276698</v>
      </c>
      <c r="AD188" s="239">
        <f t="shared" si="48"/>
        <v>94</v>
      </c>
      <c r="AE188" s="239" t="b">
        <f t="shared" si="49"/>
        <v>0</v>
      </c>
      <c r="AF188" s="239">
        <f t="shared" si="57"/>
        <v>94</v>
      </c>
      <c r="AG188" s="239">
        <f t="shared" si="45"/>
        <v>34.444444444444443</v>
      </c>
      <c r="AH188" s="239">
        <f t="shared" si="46"/>
        <v>100</v>
      </c>
      <c r="AI188" s="238">
        <f t="shared" si="50"/>
        <v>59.598617421952817</v>
      </c>
      <c r="AJ188" s="238">
        <f t="shared" si="51"/>
        <v>49</v>
      </c>
      <c r="AK188" s="238">
        <f t="shared" si="52"/>
        <v>49</v>
      </c>
      <c r="AL188" s="238"/>
      <c r="AM188" s="240">
        <f t="shared" si="53"/>
        <v>3.1982967463615633E-2</v>
      </c>
      <c r="AN188" s="238">
        <f t="shared" si="54"/>
        <v>33.381992667122951</v>
      </c>
      <c r="AO188" s="240">
        <f t="shared" si="55"/>
        <v>5.3663941962242376E-2</v>
      </c>
      <c r="AP188" s="238">
        <f t="shared" si="56"/>
        <v>54.361573207751526</v>
      </c>
    </row>
    <row r="189" spans="1:42" ht="22.2" x14ac:dyDescent="0.7">
      <c r="A189" s="118"/>
      <c r="B189" s="118"/>
      <c r="C189" s="118"/>
      <c r="D189" s="118"/>
      <c r="R189" s="220">
        <v>7</v>
      </c>
      <c r="S189" s="220">
        <v>28</v>
      </c>
      <c r="T189" s="220">
        <v>19</v>
      </c>
      <c r="U189" s="220">
        <f t="shared" si="39"/>
        <v>32.777777777777779</v>
      </c>
      <c r="V189" s="237">
        <f t="shared" si="47"/>
        <v>35639.749999999549</v>
      </c>
      <c r="W189" s="234">
        <v>91</v>
      </c>
      <c r="X189" s="234">
        <f t="shared" si="40"/>
        <v>32.777777777777779</v>
      </c>
      <c r="Y189" s="234">
        <v>56</v>
      </c>
      <c r="Z189" s="238">
        <f t="shared" si="41"/>
        <v>78.413413254952928</v>
      </c>
      <c r="AA189" s="238">
        <f t="shared" si="42"/>
        <v>25.785229586084981</v>
      </c>
      <c r="AB189" s="239">
        <f t="shared" si="43"/>
        <v>81.560059941214689</v>
      </c>
      <c r="AC189" s="239">
        <f t="shared" si="44"/>
        <v>27.533366634008186</v>
      </c>
      <c r="AD189" s="239">
        <f t="shared" si="48"/>
        <v>91</v>
      </c>
      <c r="AE189" s="239" t="b">
        <f t="shared" si="49"/>
        <v>0</v>
      </c>
      <c r="AF189" s="239">
        <f t="shared" si="57"/>
        <v>91</v>
      </c>
      <c r="AG189" s="239">
        <f t="shared" si="45"/>
        <v>32.777777777777779</v>
      </c>
      <c r="AH189" s="239">
        <f t="shared" si="46"/>
        <v>100</v>
      </c>
      <c r="AI189" s="238">
        <f t="shared" si="50"/>
        <v>65.218800613038852</v>
      </c>
      <c r="AJ189" s="238">
        <f t="shared" si="51"/>
        <v>56</v>
      </c>
      <c r="AK189" s="238">
        <f t="shared" si="52"/>
        <v>56</v>
      </c>
      <c r="AL189" s="238"/>
      <c r="AM189" s="240">
        <f t="shared" si="53"/>
        <v>3.1892611599539461E-2</v>
      </c>
      <c r="AN189" s="238">
        <f t="shared" si="54"/>
        <v>33.113668234048255</v>
      </c>
      <c r="AO189" s="240">
        <f t="shared" si="55"/>
        <v>4.8900947732490714E-2</v>
      </c>
      <c r="AP189" s="238">
        <f t="shared" si="56"/>
        <v>49.536660053013094</v>
      </c>
    </row>
    <row r="190" spans="1:42" ht="22.2" x14ac:dyDescent="0.7">
      <c r="A190" s="118"/>
      <c r="B190" s="118"/>
      <c r="C190" s="118"/>
      <c r="D190" s="118"/>
      <c r="R190" s="220">
        <v>7</v>
      </c>
      <c r="S190" s="220">
        <v>28</v>
      </c>
      <c r="T190" s="220">
        <v>20</v>
      </c>
      <c r="U190" s="220">
        <f t="shared" si="39"/>
        <v>30</v>
      </c>
      <c r="V190" s="237">
        <f t="shared" si="47"/>
        <v>35639.791666666213</v>
      </c>
      <c r="W190" s="234">
        <v>86</v>
      </c>
      <c r="X190" s="234">
        <f t="shared" si="40"/>
        <v>30</v>
      </c>
      <c r="Y190" s="234">
        <v>68</v>
      </c>
      <c r="Z190" s="238">
        <f t="shared" si="41"/>
        <v>77.507198144745146</v>
      </c>
      <c r="AA190" s="238">
        <f t="shared" si="42"/>
        <v>25.281776747080659</v>
      </c>
      <c r="AB190" s="239">
        <f t="shared" si="43"/>
        <v>79.630398608558863</v>
      </c>
      <c r="AC190" s="239">
        <f t="shared" si="44"/>
        <v>26.461332560310503</v>
      </c>
      <c r="AD190" s="239">
        <f t="shared" si="48"/>
        <v>86</v>
      </c>
      <c r="AE190" s="239" t="b">
        <f t="shared" si="49"/>
        <v>0</v>
      </c>
      <c r="AF190" s="239">
        <f t="shared" si="57"/>
        <v>86</v>
      </c>
      <c r="AG190" s="239">
        <f t="shared" si="45"/>
        <v>30</v>
      </c>
      <c r="AH190" s="239">
        <f t="shared" si="46"/>
        <v>100</v>
      </c>
      <c r="AI190" s="238">
        <f t="shared" si="50"/>
        <v>74.666123114242296</v>
      </c>
      <c r="AJ190" s="238">
        <f t="shared" si="51"/>
        <v>68</v>
      </c>
      <c r="AK190" s="238">
        <f t="shared" si="52"/>
        <v>68</v>
      </c>
      <c r="AL190" s="238"/>
      <c r="AM190" s="240">
        <f t="shared" si="53"/>
        <v>3.1192375922867832E-2</v>
      </c>
      <c r="AN190" s="238">
        <f t="shared" si="54"/>
        <v>32.140629936876515</v>
      </c>
      <c r="AO190" s="240">
        <f t="shared" si="55"/>
        <v>4.177580758430726E-2</v>
      </c>
      <c r="AP190" s="238">
        <f t="shared" si="56"/>
        <v>42.318893082903251</v>
      </c>
    </row>
    <row r="191" spans="1:42" ht="22.2" x14ac:dyDescent="0.7">
      <c r="A191" s="118"/>
      <c r="B191" s="118"/>
      <c r="C191" s="118"/>
      <c r="D191" s="118"/>
      <c r="R191" s="220">
        <v>7</v>
      </c>
      <c r="S191" s="220">
        <v>28</v>
      </c>
      <c r="T191" s="220">
        <v>21</v>
      </c>
      <c r="U191" s="220">
        <f t="shared" si="39"/>
        <v>30</v>
      </c>
      <c r="V191" s="237">
        <f t="shared" si="47"/>
        <v>35639.833333332877</v>
      </c>
      <c r="W191" s="234">
        <v>86</v>
      </c>
      <c r="X191" s="234">
        <f t="shared" si="40"/>
        <v>30</v>
      </c>
      <c r="Y191" s="234">
        <v>65</v>
      </c>
      <c r="Z191" s="238">
        <f t="shared" si="41"/>
        <v>76.650031454005244</v>
      </c>
      <c r="AA191" s="238">
        <f t="shared" si="42"/>
        <v>24.805573030002936</v>
      </c>
      <c r="AB191" s="239">
        <f t="shared" si="43"/>
        <v>78.98752359050394</v>
      </c>
      <c r="AC191" s="239">
        <f t="shared" si="44"/>
        <v>26.10417977250221</v>
      </c>
      <c r="AD191" s="239">
        <f t="shared" si="48"/>
        <v>86</v>
      </c>
      <c r="AE191" s="239" t="b">
        <f t="shared" si="49"/>
        <v>0</v>
      </c>
      <c r="AF191" s="239">
        <f t="shared" si="57"/>
        <v>86</v>
      </c>
      <c r="AG191" s="239">
        <f t="shared" si="45"/>
        <v>30</v>
      </c>
      <c r="AH191" s="239">
        <f t="shared" si="46"/>
        <v>100</v>
      </c>
      <c r="AI191" s="238">
        <f t="shared" si="50"/>
        <v>72.421147020202625</v>
      </c>
      <c r="AJ191" s="238">
        <f t="shared" si="51"/>
        <v>65</v>
      </c>
      <c r="AK191" s="238">
        <f t="shared" si="52"/>
        <v>65</v>
      </c>
      <c r="AL191" s="238"/>
      <c r="AM191" s="240">
        <f t="shared" si="53"/>
        <v>3.0254519029508122E-2</v>
      </c>
      <c r="AN191" s="238">
        <f t="shared" si="54"/>
        <v>31.243294448482263</v>
      </c>
      <c r="AO191" s="240">
        <f t="shared" si="55"/>
        <v>4.177580758430726E-2</v>
      </c>
      <c r="AP191" s="238">
        <f t="shared" si="56"/>
        <v>42.318893082903251</v>
      </c>
    </row>
    <row r="192" spans="1:42" ht="22.2" x14ac:dyDescent="0.7">
      <c r="A192" s="118"/>
      <c r="B192" s="118"/>
      <c r="C192" s="118"/>
      <c r="D192" s="118"/>
      <c r="R192" s="220">
        <v>7</v>
      </c>
      <c r="S192" s="220">
        <v>28</v>
      </c>
      <c r="T192" s="220">
        <v>22</v>
      </c>
      <c r="U192" s="220">
        <f t="shared" si="39"/>
        <v>28.888888888888889</v>
      </c>
      <c r="V192" s="237">
        <f t="shared" si="47"/>
        <v>35639.874999999542</v>
      </c>
      <c r="W192" s="234">
        <v>84</v>
      </c>
      <c r="X192" s="234">
        <f t="shared" si="40"/>
        <v>28.888888888888889</v>
      </c>
      <c r="Y192" s="234">
        <v>70</v>
      </c>
      <c r="Z192" s="238">
        <f t="shared" si="41"/>
        <v>76.2091029972255</v>
      </c>
      <c r="AA192" s="238">
        <f t="shared" si="42"/>
        <v>24.560612776236411</v>
      </c>
      <c r="AB192" s="239">
        <f t="shared" si="43"/>
        <v>78.156827247919125</v>
      </c>
      <c r="AC192" s="239">
        <f t="shared" si="44"/>
        <v>25.642681804399537</v>
      </c>
      <c r="AD192" s="239">
        <f t="shared" si="48"/>
        <v>84</v>
      </c>
      <c r="AE192" s="239" t="b">
        <f t="shared" si="49"/>
        <v>0</v>
      </c>
      <c r="AF192" s="239">
        <f t="shared" si="57"/>
        <v>84</v>
      </c>
      <c r="AG192" s="239">
        <f t="shared" si="45"/>
        <v>28.888888888888889</v>
      </c>
      <c r="AH192" s="239">
        <f t="shared" si="46"/>
        <v>100</v>
      </c>
      <c r="AI192" s="238">
        <f t="shared" si="50"/>
        <v>76.311314377593916</v>
      </c>
      <c r="AJ192" s="238">
        <f t="shared" si="51"/>
        <v>70</v>
      </c>
      <c r="AK192" s="238">
        <f t="shared" si="52"/>
        <v>70</v>
      </c>
      <c r="AL192" s="238"/>
      <c r="AM192" s="240">
        <f t="shared" si="53"/>
        <v>2.9905959927742812E-2</v>
      </c>
      <c r="AN192" s="238">
        <f t="shared" si="54"/>
        <v>30.790272550350583</v>
      </c>
      <c r="AO192" s="240">
        <f t="shared" si="55"/>
        <v>3.9189417941048625E-2</v>
      </c>
      <c r="AP192" s="238">
        <f t="shared" si="56"/>
        <v>39.698880374282254</v>
      </c>
    </row>
    <row r="193" spans="1:42" ht="22.2" x14ac:dyDescent="0.7">
      <c r="A193" s="118"/>
      <c r="B193" s="118"/>
      <c r="C193" s="118"/>
      <c r="D193" s="118"/>
      <c r="R193" s="220">
        <v>7</v>
      </c>
      <c r="S193" s="220">
        <v>28</v>
      </c>
      <c r="T193" s="220">
        <v>23</v>
      </c>
      <c r="U193" s="220">
        <f t="shared" si="39"/>
        <v>28.333333333333332</v>
      </c>
      <c r="V193" s="237">
        <f t="shared" si="47"/>
        <v>35639.916666666206</v>
      </c>
      <c r="W193" s="234">
        <v>83</v>
      </c>
      <c r="X193" s="234">
        <f t="shared" si="40"/>
        <v>28.333333333333332</v>
      </c>
      <c r="Y193" s="234">
        <v>72</v>
      </c>
      <c r="Z193" s="238">
        <f t="shared" si="41"/>
        <v>75.819781192613931</v>
      </c>
      <c r="AA193" s="238">
        <f t="shared" si="42"/>
        <v>24.344322884785537</v>
      </c>
      <c r="AB193" s="239">
        <f t="shared" si="43"/>
        <v>77.614835894460441</v>
      </c>
      <c r="AC193" s="239">
        <f t="shared" si="44"/>
        <v>25.341575496922488</v>
      </c>
      <c r="AD193" s="239">
        <f t="shared" si="48"/>
        <v>83</v>
      </c>
      <c r="AE193" s="239" t="b">
        <f t="shared" si="49"/>
        <v>0</v>
      </c>
      <c r="AF193" s="239">
        <f t="shared" si="57"/>
        <v>83</v>
      </c>
      <c r="AG193" s="239">
        <f t="shared" si="45"/>
        <v>28.333333333333332</v>
      </c>
      <c r="AH193" s="239">
        <f t="shared" si="46"/>
        <v>100</v>
      </c>
      <c r="AI193" s="238">
        <f t="shared" si="50"/>
        <v>77.879513374236453</v>
      </c>
      <c r="AJ193" s="238">
        <f t="shared" si="51"/>
        <v>72</v>
      </c>
      <c r="AK193" s="238">
        <f t="shared" si="52"/>
        <v>72</v>
      </c>
      <c r="AL193" s="238"/>
      <c r="AM193" s="240">
        <f t="shared" si="53"/>
        <v>2.9554735553589916E-2</v>
      </c>
      <c r="AN193" s="238">
        <f t="shared" si="54"/>
        <v>30.395046355137282</v>
      </c>
      <c r="AO193" s="240">
        <f t="shared" si="55"/>
        <v>3.7949306914091485E-2</v>
      </c>
      <c r="AP193" s="238">
        <f t="shared" si="56"/>
        <v>38.442647903974674</v>
      </c>
    </row>
    <row r="194" spans="1:42" ht="22.2" x14ac:dyDescent="0.7">
      <c r="A194" s="118"/>
      <c r="B194" s="118"/>
      <c r="C194" s="118"/>
      <c r="D194" s="118"/>
      <c r="R194" s="220">
        <v>7</v>
      </c>
      <c r="S194" s="220">
        <v>28</v>
      </c>
      <c r="T194" s="220">
        <v>24</v>
      </c>
      <c r="U194" s="220">
        <f t="shared" si="39"/>
        <v>27.222222222222221</v>
      </c>
      <c r="V194" s="237">
        <f t="shared" si="47"/>
        <v>35639.95833333287</v>
      </c>
      <c r="W194" s="234">
        <v>81</v>
      </c>
      <c r="X194" s="234">
        <f t="shared" si="40"/>
        <v>27.222222222222221</v>
      </c>
      <c r="Y194" s="234">
        <v>77</v>
      </c>
      <c r="Z194" s="238">
        <f t="shared" si="41"/>
        <v>75.255445050401576</v>
      </c>
      <c r="AA194" s="238">
        <f t="shared" si="42"/>
        <v>24.030802805778674</v>
      </c>
      <c r="AB194" s="239">
        <f t="shared" si="43"/>
        <v>76.691583787801179</v>
      </c>
      <c r="AC194" s="239">
        <f t="shared" si="44"/>
        <v>24.828657659889565</v>
      </c>
      <c r="AD194" s="239">
        <f t="shared" si="48"/>
        <v>81</v>
      </c>
      <c r="AE194" s="239" t="b">
        <f t="shared" si="49"/>
        <v>0</v>
      </c>
      <c r="AF194" s="239">
        <f t="shared" si="57"/>
        <v>81</v>
      </c>
      <c r="AG194" s="239">
        <f t="shared" si="45"/>
        <v>27.222222222222221</v>
      </c>
      <c r="AH194" s="239">
        <f t="shared" si="46"/>
        <v>100</v>
      </c>
      <c r="AI194" s="238">
        <f t="shared" si="50"/>
        <v>81.772952657182273</v>
      </c>
      <c r="AJ194" s="238">
        <f t="shared" si="51"/>
        <v>77</v>
      </c>
      <c r="AK194" s="238">
        <f t="shared" si="52"/>
        <v>77</v>
      </c>
      <c r="AL194" s="238"/>
      <c r="AM194" s="240">
        <f t="shared" si="53"/>
        <v>2.9087599869141383E-2</v>
      </c>
      <c r="AN194" s="238">
        <f t="shared" si="54"/>
        <v>29.830010018528988</v>
      </c>
      <c r="AO194" s="240">
        <f t="shared" si="55"/>
        <v>3.5571174727034346E-2</v>
      </c>
      <c r="AP194" s="238">
        <f t="shared" si="56"/>
        <v>36.033599998485791</v>
      </c>
    </row>
    <row r="195" spans="1:42" ht="22.2" x14ac:dyDescent="0.7">
      <c r="A195" s="118"/>
      <c r="B195" s="118"/>
      <c r="C195" s="118"/>
      <c r="D195" s="118"/>
      <c r="R195" s="220">
        <v>7</v>
      </c>
      <c r="S195" s="220">
        <v>29</v>
      </c>
      <c r="T195" s="220">
        <v>1</v>
      </c>
      <c r="U195" s="220">
        <f t="shared" si="39"/>
        <v>27.777777777777779</v>
      </c>
      <c r="V195" s="237">
        <f t="shared" si="47"/>
        <v>35639.999999999534</v>
      </c>
      <c r="W195" s="234">
        <v>82</v>
      </c>
      <c r="X195" s="234">
        <f t="shared" si="40"/>
        <v>27.777777777777779</v>
      </c>
      <c r="Y195" s="234">
        <v>74</v>
      </c>
      <c r="Z195" s="238">
        <f t="shared" si="41"/>
        <v>75.414750570934558</v>
      </c>
      <c r="AA195" s="238">
        <f t="shared" si="42"/>
        <v>24.119305872741442</v>
      </c>
      <c r="AB195" s="239">
        <f t="shared" si="43"/>
        <v>77.061062928200926</v>
      </c>
      <c r="AC195" s="239">
        <f t="shared" si="44"/>
        <v>25.033923849000537</v>
      </c>
      <c r="AD195" s="239">
        <f t="shared" si="48"/>
        <v>82</v>
      </c>
      <c r="AE195" s="239" t="b">
        <f t="shared" si="49"/>
        <v>0</v>
      </c>
      <c r="AF195" s="239">
        <f t="shared" si="57"/>
        <v>82</v>
      </c>
      <c r="AG195" s="239">
        <f t="shared" si="45"/>
        <v>27.777777777777779</v>
      </c>
      <c r="AH195" s="239">
        <f t="shared" si="46"/>
        <v>100</v>
      </c>
      <c r="AI195" s="238">
        <f t="shared" si="50"/>
        <v>79.446305745561403</v>
      </c>
      <c r="AJ195" s="238">
        <f t="shared" si="51"/>
        <v>74</v>
      </c>
      <c r="AK195" s="238">
        <f t="shared" si="52"/>
        <v>74</v>
      </c>
      <c r="AL195" s="238"/>
      <c r="AM195" s="240">
        <f t="shared" si="53"/>
        <v>2.9191347531078042E-2</v>
      </c>
      <c r="AN195" s="238">
        <f t="shared" si="54"/>
        <v>29.988577120363978</v>
      </c>
      <c r="AO195" s="240">
        <f t="shared" si="55"/>
        <v>3.6743492673614889E-2</v>
      </c>
      <c r="AP195" s="238">
        <f t="shared" si="56"/>
        <v>37.221158078371879</v>
      </c>
    </row>
    <row r="196" spans="1:42" ht="22.2" x14ac:dyDescent="0.7">
      <c r="A196" s="118"/>
      <c r="B196" s="118"/>
      <c r="C196" s="118"/>
      <c r="D196" s="118"/>
      <c r="R196" s="220">
        <v>7</v>
      </c>
      <c r="S196" s="220">
        <v>29</v>
      </c>
      <c r="T196" s="220">
        <v>2</v>
      </c>
      <c r="U196" s="220">
        <f t="shared" ref="U196:U259" si="58">+(W196-32)*5/9</f>
        <v>26.666666666666668</v>
      </c>
      <c r="V196" s="237">
        <f t="shared" si="47"/>
        <v>35640.041666666199</v>
      </c>
      <c r="W196" s="234">
        <v>80</v>
      </c>
      <c r="X196" s="234">
        <f t="shared" ref="X196:X259" si="59">+(W196-32)*5/9</f>
        <v>26.666666666666668</v>
      </c>
      <c r="Y196" s="234">
        <v>79</v>
      </c>
      <c r="Z196" s="238">
        <f t="shared" ref="Z196:Z259" si="60">(X196*ATAN(0.151977*(Y196+8.313659)^0.5)+ATAN(X196+Y196)-ATAN(Y196-1.676331)+0.00391838*(Y196)^1.5*ATAN(0.023101*Y196)-4.686035)*9/5+32</f>
        <v>74.817277070195615</v>
      </c>
      <c r="AA196" s="238">
        <f t="shared" ref="AA196:AA259" si="61">+(Z196-32)*0.555555555555556</f>
        <v>23.787376150108695</v>
      </c>
      <c r="AB196" s="239">
        <f t="shared" ref="AB196:AB259" si="62">-(W196-Z196)*0.75+W196</f>
        <v>76.112957802646719</v>
      </c>
      <c r="AC196" s="239">
        <f t="shared" ref="AC196:AC259" si="63">+(AB196-32)*0.555555555555556</f>
        <v>24.507198779248199</v>
      </c>
      <c r="AD196" s="239">
        <f t="shared" si="48"/>
        <v>80</v>
      </c>
      <c r="AE196" s="239" t="b">
        <f t="shared" si="49"/>
        <v>0</v>
      </c>
      <c r="AF196" s="239">
        <f t="shared" si="57"/>
        <v>80</v>
      </c>
      <c r="AG196" s="239">
        <f t="shared" ref="AG196:AG259" si="64">+(AF196-32)*5/9</f>
        <v>26.666666666666668</v>
      </c>
      <c r="AH196" s="239">
        <f t="shared" ref="AH196:AH259" si="65">+$H$4</f>
        <v>100</v>
      </c>
      <c r="AI196" s="238">
        <f t="shared" si="50"/>
        <v>83.343343633009709</v>
      </c>
      <c r="AJ196" s="238">
        <f t="shared" si="51"/>
        <v>79</v>
      </c>
      <c r="AK196" s="238">
        <f t="shared" si="52"/>
        <v>79</v>
      </c>
      <c r="AL196" s="238"/>
      <c r="AM196" s="240">
        <f t="shared" si="53"/>
        <v>2.8696419540762554E-2</v>
      </c>
      <c r="AN196" s="238">
        <f t="shared" si="54"/>
        <v>29.397640077849754</v>
      </c>
      <c r="AO196" s="240">
        <f t="shared" si="55"/>
        <v>3.4431567405218425E-2</v>
      </c>
      <c r="AP196" s="238">
        <f t="shared" si="56"/>
        <v>34.879177781486263</v>
      </c>
    </row>
    <row r="197" spans="1:42" ht="22.2" x14ac:dyDescent="0.7">
      <c r="A197" s="118"/>
      <c r="B197" s="118"/>
      <c r="C197" s="118"/>
      <c r="D197" s="118"/>
      <c r="R197" s="220">
        <v>7</v>
      </c>
      <c r="S197" s="220">
        <v>29</v>
      </c>
      <c r="T197" s="220">
        <v>3</v>
      </c>
      <c r="U197" s="220">
        <f t="shared" si="58"/>
        <v>25</v>
      </c>
      <c r="V197" s="237">
        <f t="shared" ref="V197:V260" si="66">+V196+1/24</f>
        <v>35640.083333332863</v>
      </c>
      <c r="W197" s="234">
        <v>77</v>
      </c>
      <c r="X197" s="234">
        <f t="shared" si="59"/>
        <v>25</v>
      </c>
      <c r="Y197" s="234">
        <v>88</v>
      </c>
      <c r="Z197" s="238">
        <f t="shared" si="60"/>
        <v>74.161629187045833</v>
      </c>
      <c r="AA197" s="238">
        <f t="shared" si="61"/>
        <v>23.423127326136594</v>
      </c>
      <c r="AB197" s="239">
        <f t="shared" si="62"/>
        <v>74.871221890284374</v>
      </c>
      <c r="AC197" s="239">
        <f t="shared" si="63"/>
        <v>23.817345494602449</v>
      </c>
      <c r="AD197" s="239">
        <f t="shared" ref="AD197:AD260" si="67">+IF(W197&gt;=$H$4,AB197,W197)</f>
        <v>77</v>
      </c>
      <c r="AE197" s="239" t="b">
        <f t="shared" ref="AE197:AE260" si="68">+AND(AD197&lt;W197,$H$4&gt;=AD197)</f>
        <v>0</v>
      </c>
      <c r="AF197" s="239">
        <f t="shared" si="57"/>
        <v>77</v>
      </c>
      <c r="AG197" s="239">
        <f t="shared" si="64"/>
        <v>25</v>
      </c>
      <c r="AH197" s="239">
        <f t="shared" si="65"/>
        <v>100</v>
      </c>
      <c r="AI197" s="238">
        <f t="shared" ref="AI197:AI260" si="69">+AM197/AO197*100</f>
        <v>90.427723683657206</v>
      </c>
      <c r="AJ197" s="238">
        <f t="shared" ref="AJ197:AJ260" si="70">+Y197</f>
        <v>88</v>
      </c>
      <c r="AK197" s="238">
        <f t="shared" ref="AK197:AK260" si="71">+IF(W197&gt;=AH197,AI197,AJ197)</f>
        <v>88</v>
      </c>
      <c r="AL197" s="238"/>
      <c r="AM197" s="240">
        <f t="shared" ref="AM197:AM260" si="72">+((AC197-AA197)*1.005-2500*(AN197/1013))/(-(AC197-AA197)*4.186-2500)</f>
        <v>2.8214689443363215E-2</v>
      </c>
      <c r="AN197" s="238">
        <f t="shared" ref="AN197:AN260" si="73">6.11*10^(7.5*AA197/(237.7+AA197))</f>
        <v>28.760882326182024</v>
      </c>
      <c r="AO197" s="240">
        <f t="shared" ref="AO197:AO260" si="74">+AP197/1013</f>
        <v>3.1201370878323226E-2</v>
      </c>
      <c r="AP197" s="238">
        <f t="shared" ref="AP197:AP260" si="75">6.11*10^(7.5*AG197/(237.7+AG197))</f>
        <v>31.606988699741429</v>
      </c>
    </row>
    <row r="198" spans="1:42" ht="22.2" x14ac:dyDescent="0.7">
      <c r="A198" s="118"/>
      <c r="B198" s="118"/>
      <c r="C198" s="118"/>
      <c r="D198" s="118"/>
      <c r="R198" s="220">
        <v>7</v>
      </c>
      <c r="S198" s="220">
        <v>29</v>
      </c>
      <c r="T198" s="220">
        <v>4</v>
      </c>
      <c r="U198" s="220">
        <f t="shared" si="58"/>
        <v>25.555555555555557</v>
      </c>
      <c r="V198" s="237">
        <f t="shared" si="66"/>
        <v>35640.124999999527</v>
      </c>
      <c r="W198" s="234">
        <v>78</v>
      </c>
      <c r="X198" s="234">
        <f t="shared" si="59"/>
        <v>25.555555555555557</v>
      </c>
      <c r="Y198" s="234">
        <v>85</v>
      </c>
      <c r="Z198" s="238">
        <f t="shared" si="60"/>
        <v>74.399090172530876</v>
      </c>
      <c r="AA198" s="238">
        <f t="shared" si="61"/>
        <v>23.555050095850508</v>
      </c>
      <c r="AB198" s="239">
        <f t="shared" si="62"/>
        <v>75.299317629398161</v>
      </c>
      <c r="AC198" s="239">
        <f t="shared" si="63"/>
        <v>24.055176460776774</v>
      </c>
      <c r="AD198" s="239">
        <f t="shared" si="67"/>
        <v>78</v>
      </c>
      <c r="AE198" s="239" t="b">
        <f t="shared" si="68"/>
        <v>0</v>
      </c>
      <c r="AF198" s="239">
        <f t="shared" si="57"/>
        <v>78</v>
      </c>
      <c r="AG198" s="239">
        <f t="shared" si="64"/>
        <v>25.555555555555557</v>
      </c>
      <c r="AH198" s="239">
        <f t="shared" si="65"/>
        <v>100</v>
      </c>
      <c r="AI198" s="238">
        <f t="shared" si="69"/>
        <v>88.048095929273913</v>
      </c>
      <c r="AJ198" s="238">
        <f t="shared" si="70"/>
        <v>85</v>
      </c>
      <c r="AK198" s="238">
        <f t="shared" si="71"/>
        <v>85</v>
      </c>
      <c r="AL198" s="238"/>
      <c r="AM198" s="240">
        <f t="shared" si="72"/>
        <v>2.8393234842219395E-2</v>
      </c>
      <c r="AN198" s="238">
        <f t="shared" si="73"/>
        <v>28.990097276765955</v>
      </c>
      <c r="AO198" s="240">
        <f t="shared" si="74"/>
        <v>3.2247414941291554E-2</v>
      </c>
      <c r="AP198" s="238">
        <f t="shared" si="75"/>
        <v>32.666631335528344</v>
      </c>
    </row>
    <row r="199" spans="1:42" ht="22.2" x14ac:dyDescent="0.7">
      <c r="A199" s="118"/>
      <c r="B199" s="118"/>
      <c r="C199" s="118"/>
      <c r="D199" s="118"/>
      <c r="R199" s="220">
        <v>7</v>
      </c>
      <c r="S199" s="220">
        <v>29</v>
      </c>
      <c r="T199" s="220">
        <v>5</v>
      </c>
      <c r="U199" s="220">
        <f t="shared" si="58"/>
        <v>26.111111111111111</v>
      </c>
      <c r="V199" s="237">
        <f t="shared" si="66"/>
        <v>35640.166666666191</v>
      </c>
      <c r="W199" s="234">
        <v>79</v>
      </c>
      <c r="X199" s="234">
        <f t="shared" si="59"/>
        <v>26.111111111111111</v>
      </c>
      <c r="Y199" s="234">
        <v>82</v>
      </c>
      <c r="Z199" s="238">
        <f t="shared" si="60"/>
        <v>74.618145716647902</v>
      </c>
      <c r="AA199" s="238">
        <f t="shared" si="61"/>
        <v>23.676747620359965</v>
      </c>
      <c r="AB199" s="239">
        <f t="shared" si="62"/>
        <v>75.713609287485923</v>
      </c>
      <c r="AC199" s="239">
        <f t="shared" si="63"/>
        <v>24.285338493047757</v>
      </c>
      <c r="AD199" s="239">
        <f t="shared" si="67"/>
        <v>79</v>
      </c>
      <c r="AE199" s="239" t="b">
        <f t="shared" si="68"/>
        <v>0</v>
      </c>
      <c r="AF199" s="239">
        <f t="shared" si="57"/>
        <v>79</v>
      </c>
      <c r="AG199" s="239">
        <f t="shared" si="64"/>
        <v>26.111111111111111</v>
      </c>
      <c r="AH199" s="239">
        <f t="shared" si="65"/>
        <v>100</v>
      </c>
      <c r="AI199" s="238">
        <f t="shared" si="69"/>
        <v>85.687571228425071</v>
      </c>
      <c r="AJ199" s="238">
        <f t="shared" si="70"/>
        <v>82</v>
      </c>
      <c r="AK199" s="238">
        <f t="shared" si="71"/>
        <v>82</v>
      </c>
      <c r="AL199" s="238"/>
      <c r="AM199" s="240">
        <f t="shared" si="72"/>
        <v>2.8554440268492791E-2</v>
      </c>
      <c r="AN199" s="238">
        <f t="shared" si="73"/>
        <v>29.202957964341937</v>
      </c>
      <c r="AO199" s="240">
        <f t="shared" si="74"/>
        <v>3.3323899673119044E-2</v>
      </c>
      <c r="AP199" s="238">
        <f t="shared" si="75"/>
        <v>33.75711036886959</v>
      </c>
    </row>
    <row r="200" spans="1:42" ht="22.2" x14ac:dyDescent="0.7">
      <c r="A200" s="118"/>
      <c r="B200" s="118"/>
      <c r="C200" s="118"/>
      <c r="D200" s="118"/>
      <c r="R200" s="220">
        <v>7</v>
      </c>
      <c r="S200" s="220">
        <v>29</v>
      </c>
      <c r="T200" s="220">
        <v>6</v>
      </c>
      <c r="U200" s="220">
        <f t="shared" si="58"/>
        <v>24.444444444444443</v>
      </c>
      <c r="V200" s="237">
        <f t="shared" si="66"/>
        <v>35640.208333332856</v>
      </c>
      <c r="W200" s="234">
        <v>76</v>
      </c>
      <c r="X200" s="234">
        <f t="shared" si="59"/>
        <v>24.444444444444443</v>
      </c>
      <c r="Y200" s="234">
        <v>90</v>
      </c>
      <c r="Z200" s="238">
        <f t="shared" si="60"/>
        <v>73.665456930368649</v>
      </c>
      <c r="AA200" s="238">
        <f t="shared" si="61"/>
        <v>23.147476072427047</v>
      </c>
      <c r="AB200" s="239">
        <f t="shared" si="62"/>
        <v>74.24909269777649</v>
      </c>
      <c r="AC200" s="239">
        <f t="shared" si="63"/>
        <v>23.471718165431405</v>
      </c>
      <c r="AD200" s="239">
        <f t="shared" si="67"/>
        <v>76</v>
      </c>
      <c r="AE200" s="239" t="b">
        <f t="shared" si="68"/>
        <v>0</v>
      </c>
      <c r="AF200" s="239">
        <f t="shared" si="57"/>
        <v>76</v>
      </c>
      <c r="AG200" s="239">
        <f t="shared" si="64"/>
        <v>24.444444444444443</v>
      </c>
      <c r="AH200" s="239">
        <f t="shared" si="65"/>
        <v>100</v>
      </c>
      <c r="AI200" s="238">
        <f t="shared" si="69"/>
        <v>92.027711714467671</v>
      </c>
      <c r="AJ200" s="238">
        <f t="shared" si="70"/>
        <v>90</v>
      </c>
      <c r="AK200" s="238">
        <f t="shared" si="71"/>
        <v>90</v>
      </c>
      <c r="AL200" s="238"/>
      <c r="AM200" s="240">
        <f t="shared" si="72"/>
        <v>2.7778600878134579E-2</v>
      </c>
      <c r="AN200" s="238">
        <f t="shared" si="73"/>
        <v>28.287039863990454</v>
      </c>
      <c r="AO200" s="240">
        <f t="shared" si="74"/>
        <v>3.0185039224187846E-2</v>
      </c>
      <c r="AP200" s="238">
        <f t="shared" si="75"/>
        <v>30.577444734102286</v>
      </c>
    </row>
    <row r="201" spans="1:42" ht="22.2" x14ac:dyDescent="0.7">
      <c r="A201" s="118"/>
      <c r="B201" s="118"/>
      <c r="C201" s="118"/>
      <c r="D201" s="118"/>
      <c r="R201" s="220">
        <v>7</v>
      </c>
      <c r="S201" s="220">
        <v>29</v>
      </c>
      <c r="T201" s="220">
        <v>7</v>
      </c>
      <c r="U201" s="220">
        <f t="shared" si="58"/>
        <v>26.666666666666668</v>
      </c>
      <c r="V201" s="237">
        <f t="shared" si="66"/>
        <v>35640.24999999952</v>
      </c>
      <c r="W201" s="234">
        <v>80</v>
      </c>
      <c r="X201" s="234">
        <f t="shared" si="59"/>
        <v>26.666666666666668</v>
      </c>
      <c r="Y201" s="234">
        <v>82</v>
      </c>
      <c r="Z201" s="238">
        <f t="shared" si="60"/>
        <v>75.583432645417005</v>
      </c>
      <c r="AA201" s="238">
        <f t="shared" si="61"/>
        <v>24.2130181363428</v>
      </c>
      <c r="AB201" s="239">
        <f t="shared" si="62"/>
        <v>76.68757448406275</v>
      </c>
      <c r="AC201" s="239">
        <f t="shared" si="63"/>
        <v>24.826430268923772</v>
      </c>
      <c r="AD201" s="239">
        <f t="shared" si="67"/>
        <v>80</v>
      </c>
      <c r="AE201" s="239" t="b">
        <f t="shared" si="68"/>
        <v>0</v>
      </c>
      <c r="AF201" s="239">
        <f t="shared" si="57"/>
        <v>80</v>
      </c>
      <c r="AG201" s="239">
        <f t="shared" si="64"/>
        <v>26.666666666666668</v>
      </c>
      <c r="AH201" s="239">
        <f t="shared" si="65"/>
        <v>100</v>
      </c>
      <c r="AI201" s="238">
        <f t="shared" si="69"/>
        <v>85.657967185188852</v>
      </c>
      <c r="AJ201" s="238">
        <f t="shared" si="70"/>
        <v>82</v>
      </c>
      <c r="AK201" s="238">
        <f t="shared" si="71"/>
        <v>82</v>
      </c>
      <c r="AL201" s="238"/>
      <c r="AM201" s="240">
        <f t="shared" si="72"/>
        <v>2.9493380709308178E-2</v>
      </c>
      <c r="AN201" s="238">
        <f t="shared" si="73"/>
        <v>30.157278402004941</v>
      </c>
      <c r="AO201" s="240">
        <f t="shared" si="74"/>
        <v>3.4431567405218425E-2</v>
      </c>
      <c r="AP201" s="238">
        <f t="shared" si="75"/>
        <v>34.879177781486263</v>
      </c>
    </row>
    <row r="202" spans="1:42" ht="22.2" x14ac:dyDescent="0.7">
      <c r="A202" s="118"/>
      <c r="B202" s="118"/>
      <c r="C202" s="118"/>
      <c r="D202" s="118"/>
      <c r="R202" s="220">
        <v>7</v>
      </c>
      <c r="S202" s="220">
        <v>29</v>
      </c>
      <c r="T202" s="220">
        <v>8</v>
      </c>
      <c r="U202" s="220">
        <f t="shared" si="58"/>
        <v>28.333333333333332</v>
      </c>
      <c r="V202" s="237">
        <f t="shared" si="66"/>
        <v>35640.291666666184</v>
      </c>
      <c r="W202" s="234">
        <v>83</v>
      </c>
      <c r="X202" s="234">
        <f t="shared" si="59"/>
        <v>28.333333333333332</v>
      </c>
      <c r="Y202" s="234">
        <v>77</v>
      </c>
      <c r="Z202" s="238">
        <f t="shared" si="60"/>
        <v>77.159244496718884</v>
      </c>
      <c r="AA202" s="238">
        <f t="shared" si="61"/>
        <v>25.088469164843847</v>
      </c>
      <c r="AB202" s="239">
        <f t="shared" si="62"/>
        <v>78.619433372539163</v>
      </c>
      <c r="AC202" s="239">
        <f t="shared" si="63"/>
        <v>25.899685206966222</v>
      </c>
      <c r="AD202" s="239">
        <f t="shared" si="67"/>
        <v>83</v>
      </c>
      <c r="AE202" s="239" t="b">
        <f t="shared" si="68"/>
        <v>0</v>
      </c>
      <c r="AF202" s="239">
        <f t="shared" si="57"/>
        <v>83</v>
      </c>
      <c r="AG202" s="239">
        <f t="shared" si="64"/>
        <v>28.333333333333332</v>
      </c>
      <c r="AH202" s="239">
        <f t="shared" si="65"/>
        <v>100</v>
      </c>
      <c r="AI202" s="238">
        <f t="shared" si="69"/>
        <v>81.68193147199861</v>
      </c>
      <c r="AJ202" s="238">
        <f t="shared" si="70"/>
        <v>77</v>
      </c>
      <c r="AK202" s="238">
        <f t="shared" si="71"/>
        <v>77</v>
      </c>
      <c r="AL202" s="238"/>
      <c r="AM202" s="240">
        <f t="shared" si="72"/>
        <v>3.0997726867666636E-2</v>
      </c>
      <c r="AN202" s="238">
        <f t="shared" si="73"/>
        <v>31.773697152506521</v>
      </c>
      <c r="AO202" s="240">
        <f t="shared" si="74"/>
        <v>3.7949306914091485E-2</v>
      </c>
      <c r="AP202" s="238">
        <f t="shared" si="75"/>
        <v>38.442647903974674</v>
      </c>
    </row>
    <row r="203" spans="1:42" ht="22.2" x14ac:dyDescent="0.7">
      <c r="A203" s="118"/>
      <c r="B203" s="118"/>
      <c r="C203" s="118"/>
      <c r="D203" s="118"/>
      <c r="R203" s="220">
        <v>7</v>
      </c>
      <c r="S203" s="220">
        <v>29</v>
      </c>
      <c r="T203" s="220">
        <v>9</v>
      </c>
      <c r="U203" s="220">
        <f t="shared" si="58"/>
        <v>31.666666666666668</v>
      </c>
      <c r="V203" s="237">
        <f t="shared" si="66"/>
        <v>35640.333333332848</v>
      </c>
      <c r="W203" s="234">
        <v>89</v>
      </c>
      <c r="X203" s="234">
        <f t="shared" si="59"/>
        <v>31.666666666666668</v>
      </c>
      <c r="Y203" s="234">
        <v>63</v>
      </c>
      <c r="Z203" s="238">
        <f t="shared" si="60"/>
        <v>78.798499351886335</v>
      </c>
      <c r="AA203" s="238">
        <f t="shared" si="61"/>
        <v>25.999166306603541</v>
      </c>
      <c r="AB203" s="239">
        <f t="shared" si="62"/>
        <v>81.348874513914751</v>
      </c>
      <c r="AC203" s="239">
        <f t="shared" si="63"/>
        <v>27.416041396619331</v>
      </c>
      <c r="AD203" s="239">
        <f t="shared" si="67"/>
        <v>89</v>
      </c>
      <c r="AE203" s="239" t="b">
        <f t="shared" si="68"/>
        <v>0</v>
      </c>
      <c r="AF203" s="239">
        <f t="shared" si="57"/>
        <v>89</v>
      </c>
      <c r="AG203" s="239">
        <f t="shared" si="64"/>
        <v>31.666666666666668</v>
      </c>
      <c r="AH203" s="239">
        <f t="shared" si="65"/>
        <v>100</v>
      </c>
      <c r="AI203" s="238">
        <f t="shared" si="69"/>
        <v>70.662833545421293</v>
      </c>
      <c r="AJ203" s="238">
        <f t="shared" si="70"/>
        <v>63</v>
      </c>
      <c r="AK203" s="238">
        <f t="shared" si="71"/>
        <v>63</v>
      </c>
      <c r="AL203" s="238"/>
      <c r="AM203" s="240">
        <f t="shared" si="72"/>
        <v>3.2457915329326001E-2</v>
      </c>
      <c r="AN203" s="238">
        <f t="shared" si="73"/>
        <v>33.534861317993247</v>
      </c>
      <c r="AO203" s="240">
        <f t="shared" si="74"/>
        <v>4.5933503796535997E-2</v>
      </c>
      <c r="AP203" s="238">
        <f t="shared" si="75"/>
        <v>46.530639345890968</v>
      </c>
    </row>
    <row r="204" spans="1:42" ht="22.2" x14ac:dyDescent="0.7">
      <c r="A204" s="118"/>
      <c r="B204" s="118"/>
      <c r="C204" s="118"/>
      <c r="D204" s="118"/>
      <c r="R204" s="220">
        <v>7</v>
      </c>
      <c r="S204" s="220">
        <v>29</v>
      </c>
      <c r="T204" s="220">
        <v>10</v>
      </c>
      <c r="U204" s="220">
        <f t="shared" si="58"/>
        <v>32.777777777777779</v>
      </c>
      <c r="V204" s="237">
        <f t="shared" si="66"/>
        <v>35640.374999999513</v>
      </c>
      <c r="W204" s="234">
        <v>91</v>
      </c>
      <c r="X204" s="234">
        <f t="shared" si="59"/>
        <v>32.777777777777779</v>
      </c>
      <c r="Y204" s="234">
        <v>60</v>
      </c>
      <c r="Z204" s="238">
        <f t="shared" si="60"/>
        <v>79.68471791757166</v>
      </c>
      <c r="AA204" s="238">
        <f t="shared" si="61"/>
        <v>26.491509954206499</v>
      </c>
      <c r="AB204" s="239">
        <f t="shared" si="62"/>
        <v>82.513538438178742</v>
      </c>
      <c r="AC204" s="239">
        <f t="shared" si="63"/>
        <v>28.063076910099326</v>
      </c>
      <c r="AD204" s="239">
        <f t="shared" si="67"/>
        <v>91</v>
      </c>
      <c r="AE204" s="239" t="b">
        <f t="shared" si="68"/>
        <v>0</v>
      </c>
      <c r="AF204" s="239">
        <f t="shared" si="57"/>
        <v>91</v>
      </c>
      <c r="AG204" s="239">
        <f t="shared" si="64"/>
        <v>32.777777777777779</v>
      </c>
      <c r="AH204" s="239">
        <f t="shared" si="65"/>
        <v>100</v>
      </c>
      <c r="AI204" s="238">
        <f t="shared" si="69"/>
        <v>68.218259300304481</v>
      </c>
      <c r="AJ204" s="238">
        <f t="shared" si="70"/>
        <v>60</v>
      </c>
      <c r="AK204" s="238">
        <f t="shared" si="71"/>
        <v>60</v>
      </c>
      <c r="AL204" s="238"/>
      <c r="AM204" s="240">
        <f t="shared" si="72"/>
        <v>3.3359375324456882E-2</v>
      </c>
      <c r="AN204" s="238">
        <f t="shared" si="73"/>
        <v>34.521954224876509</v>
      </c>
      <c r="AO204" s="240">
        <f t="shared" si="74"/>
        <v>4.8900947732490714E-2</v>
      </c>
      <c r="AP204" s="238">
        <f t="shared" si="75"/>
        <v>49.536660053013094</v>
      </c>
    </row>
    <row r="205" spans="1:42" ht="22.2" x14ac:dyDescent="0.7">
      <c r="A205" s="118"/>
      <c r="B205" s="118"/>
      <c r="C205" s="118"/>
      <c r="D205" s="118"/>
      <c r="R205" s="220">
        <v>7</v>
      </c>
      <c r="S205" s="220">
        <v>29</v>
      </c>
      <c r="T205" s="220">
        <v>11</v>
      </c>
      <c r="U205" s="220">
        <f t="shared" si="58"/>
        <v>33.888888888888886</v>
      </c>
      <c r="V205" s="237">
        <f t="shared" si="66"/>
        <v>35640.416666666177</v>
      </c>
      <c r="W205" s="234">
        <v>93</v>
      </c>
      <c r="X205" s="234">
        <f t="shared" si="59"/>
        <v>33.888888888888886</v>
      </c>
      <c r="Y205" s="234">
        <v>54</v>
      </c>
      <c r="Z205" s="238">
        <f t="shared" si="60"/>
        <v>79.515958963418925</v>
      </c>
      <c r="AA205" s="238">
        <f t="shared" si="61"/>
        <v>26.397754979677202</v>
      </c>
      <c r="AB205" s="239">
        <f t="shared" si="62"/>
        <v>82.88696922256419</v>
      </c>
      <c r="AC205" s="239">
        <f t="shared" si="63"/>
        <v>28.27053845698013</v>
      </c>
      <c r="AD205" s="239">
        <f t="shared" si="67"/>
        <v>93</v>
      </c>
      <c r="AE205" s="239" t="b">
        <f t="shared" si="68"/>
        <v>0</v>
      </c>
      <c r="AF205" s="239">
        <f t="shared" si="57"/>
        <v>93</v>
      </c>
      <c r="AG205" s="239">
        <f t="shared" si="64"/>
        <v>33.888888888888886</v>
      </c>
      <c r="AH205" s="239">
        <f t="shared" si="65"/>
        <v>100</v>
      </c>
      <c r="AI205" s="238">
        <f t="shared" si="69"/>
        <v>63.488059027097151</v>
      </c>
      <c r="AJ205" s="238">
        <f t="shared" si="70"/>
        <v>54</v>
      </c>
      <c r="AK205" s="238">
        <f t="shared" si="71"/>
        <v>54</v>
      </c>
      <c r="AL205" s="238"/>
      <c r="AM205" s="240">
        <f t="shared" si="72"/>
        <v>3.3035019660947511E-2</v>
      </c>
      <c r="AN205" s="238">
        <f t="shared" si="73"/>
        <v>34.332058561636593</v>
      </c>
      <c r="AO205" s="240">
        <f t="shared" si="74"/>
        <v>5.2033437731728312E-2</v>
      </c>
      <c r="AP205" s="238">
        <f t="shared" si="75"/>
        <v>52.709872422240778</v>
      </c>
    </row>
    <row r="206" spans="1:42" ht="22.2" x14ac:dyDescent="0.7">
      <c r="A206" s="118"/>
      <c r="B206" s="118"/>
      <c r="C206" s="118"/>
      <c r="D206" s="118"/>
      <c r="R206" s="220">
        <v>7</v>
      </c>
      <c r="S206" s="220">
        <v>29</v>
      </c>
      <c r="T206" s="220">
        <v>12</v>
      </c>
      <c r="U206" s="220">
        <f t="shared" si="58"/>
        <v>34.444444444444443</v>
      </c>
      <c r="V206" s="237">
        <f t="shared" si="66"/>
        <v>35640.458333332841</v>
      </c>
      <c r="W206" s="234">
        <v>94</v>
      </c>
      <c r="X206" s="234">
        <f t="shared" si="59"/>
        <v>34.444444444444443</v>
      </c>
      <c r="Y206" s="234">
        <v>51</v>
      </c>
      <c r="Z206" s="238">
        <f t="shared" si="60"/>
        <v>79.361617460269144</v>
      </c>
      <c r="AA206" s="238">
        <f t="shared" si="61"/>
        <v>26.312009700149545</v>
      </c>
      <c r="AB206" s="239">
        <f t="shared" si="62"/>
        <v>83.021213095201858</v>
      </c>
      <c r="AC206" s="239">
        <f t="shared" si="63"/>
        <v>28.34511838622328</v>
      </c>
      <c r="AD206" s="239">
        <f t="shared" si="67"/>
        <v>94</v>
      </c>
      <c r="AE206" s="239" t="b">
        <f t="shared" si="68"/>
        <v>0</v>
      </c>
      <c r="AF206" s="239">
        <f t="shared" ref="AF206:AF266" si="76">+IF(AE206=TRUE,$H$4,AD206)</f>
        <v>94</v>
      </c>
      <c r="AG206" s="239">
        <f t="shared" si="64"/>
        <v>34.444444444444443</v>
      </c>
      <c r="AH206" s="239">
        <f t="shared" si="65"/>
        <v>100</v>
      </c>
      <c r="AI206" s="238">
        <f t="shared" si="69"/>
        <v>61.105969546079955</v>
      </c>
      <c r="AJ206" s="238">
        <f t="shared" si="70"/>
        <v>51</v>
      </c>
      <c r="AK206" s="238">
        <f t="shared" si="71"/>
        <v>51</v>
      </c>
      <c r="AL206" s="238"/>
      <c r="AM206" s="240">
        <f t="shared" si="72"/>
        <v>3.2791872032673849E-2</v>
      </c>
      <c r="AN206" s="238">
        <f t="shared" si="73"/>
        <v>34.159183604030389</v>
      </c>
      <c r="AO206" s="240">
        <f t="shared" si="74"/>
        <v>5.3663941962242376E-2</v>
      </c>
      <c r="AP206" s="238">
        <f t="shared" si="75"/>
        <v>54.361573207751526</v>
      </c>
    </row>
    <row r="207" spans="1:42" ht="22.2" x14ac:dyDescent="0.7">
      <c r="A207" s="118"/>
      <c r="B207" s="118"/>
      <c r="C207" s="118"/>
      <c r="D207" s="118"/>
      <c r="R207" s="220">
        <v>7</v>
      </c>
      <c r="S207" s="220">
        <v>29</v>
      </c>
      <c r="T207" s="220">
        <v>13</v>
      </c>
      <c r="U207" s="220">
        <f t="shared" si="58"/>
        <v>35</v>
      </c>
      <c r="V207" s="237">
        <f t="shared" si="66"/>
        <v>35640.499999999505</v>
      </c>
      <c r="W207" s="234">
        <v>95</v>
      </c>
      <c r="X207" s="234">
        <f t="shared" si="59"/>
        <v>35</v>
      </c>
      <c r="Y207" s="234">
        <v>47</v>
      </c>
      <c r="Z207" s="238">
        <f t="shared" si="60"/>
        <v>78.789893647885066</v>
      </c>
      <c r="AA207" s="238">
        <f t="shared" si="61"/>
        <v>25.994385359936171</v>
      </c>
      <c r="AB207" s="239">
        <f t="shared" si="62"/>
        <v>82.842420235913806</v>
      </c>
      <c r="AC207" s="239">
        <f t="shared" si="63"/>
        <v>28.245789019952138</v>
      </c>
      <c r="AD207" s="239">
        <f t="shared" si="67"/>
        <v>95</v>
      </c>
      <c r="AE207" s="239" t="b">
        <f t="shared" si="68"/>
        <v>0</v>
      </c>
      <c r="AF207" s="239">
        <f t="shared" si="76"/>
        <v>95</v>
      </c>
      <c r="AG207" s="239">
        <f t="shared" si="64"/>
        <v>35</v>
      </c>
      <c r="AH207" s="239">
        <f t="shared" si="65"/>
        <v>100</v>
      </c>
      <c r="AI207" s="238">
        <f t="shared" si="69"/>
        <v>57.950895544935413</v>
      </c>
      <c r="AJ207" s="238">
        <f t="shared" si="70"/>
        <v>47</v>
      </c>
      <c r="AK207" s="238">
        <f t="shared" si="71"/>
        <v>47</v>
      </c>
      <c r="AL207" s="238"/>
      <c r="AM207" s="240">
        <f t="shared" si="72"/>
        <v>3.2069203699883288E-2</v>
      </c>
      <c r="AN207" s="238">
        <f t="shared" si="73"/>
        <v>33.525397952298235</v>
      </c>
      <c r="AO207" s="240">
        <f t="shared" si="74"/>
        <v>5.5338581739460213E-2</v>
      </c>
      <c r="AP207" s="238">
        <f t="shared" si="75"/>
        <v>56.057983302073197</v>
      </c>
    </row>
    <row r="208" spans="1:42" ht="22.2" x14ac:dyDescent="0.7">
      <c r="A208" s="118"/>
      <c r="B208" s="118"/>
      <c r="C208" s="118"/>
      <c r="D208" s="118"/>
      <c r="R208" s="220">
        <v>7</v>
      </c>
      <c r="S208" s="220">
        <v>29</v>
      </c>
      <c r="T208" s="220">
        <v>14</v>
      </c>
      <c r="U208" s="220">
        <f t="shared" si="58"/>
        <v>35.555555555555557</v>
      </c>
      <c r="V208" s="237">
        <f t="shared" si="66"/>
        <v>35640.541666666169</v>
      </c>
      <c r="W208" s="234">
        <v>96</v>
      </c>
      <c r="X208" s="234">
        <f t="shared" si="59"/>
        <v>35.555555555555557</v>
      </c>
      <c r="Y208" s="234">
        <v>48</v>
      </c>
      <c r="Z208" s="238">
        <f t="shared" si="60"/>
        <v>80.005159966801585</v>
      </c>
      <c r="AA208" s="238">
        <f t="shared" si="61"/>
        <v>26.669533314889794</v>
      </c>
      <c r="AB208" s="239">
        <f t="shared" si="62"/>
        <v>84.003869975101196</v>
      </c>
      <c r="AC208" s="239">
        <f t="shared" si="63"/>
        <v>28.891038875056246</v>
      </c>
      <c r="AD208" s="239">
        <f t="shared" si="67"/>
        <v>96</v>
      </c>
      <c r="AE208" s="239" t="b">
        <f t="shared" si="68"/>
        <v>0</v>
      </c>
      <c r="AF208" s="239">
        <f t="shared" si="76"/>
        <v>96</v>
      </c>
      <c r="AG208" s="239">
        <f t="shared" si="64"/>
        <v>35.555555555555557</v>
      </c>
      <c r="AH208" s="239">
        <f t="shared" si="65"/>
        <v>100</v>
      </c>
      <c r="AI208" s="238">
        <f t="shared" si="69"/>
        <v>58.571633322151541</v>
      </c>
      <c r="AJ208" s="238">
        <f t="shared" si="70"/>
        <v>48</v>
      </c>
      <c r="AK208" s="238">
        <f t="shared" si="71"/>
        <v>48</v>
      </c>
      <c r="AL208" s="238"/>
      <c r="AM208" s="240">
        <f t="shared" si="72"/>
        <v>3.3420007838201121E-2</v>
      </c>
      <c r="AN208" s="238">
        <f t="shared" si="73"/>
        <v>34.885050852290874</v>
      </c>
      <c r="AO208" s="240">
        <f t="shared" si="74"/>
        <v>5.7058350506271123E-2</v>
      </c>
      <c r="AP208" s="238">
        <f t="shared" si="75"/>
        <v>57.800109062852648</v>
      </c>
    </row>
    <row r="209" spans="1:42" ht="22.2" x14ac:dyDescent="0.7">
      <c r="A209" s="118"/>
      <c r="B209" s="118"/>
      <c r="C209" s="118"/>
      <c r="D209" s="118"/>
      <c r="R209" s="220">
        <v>7</v>
      </c>
      <c r="S209" s="220">
        <v>29</v>
      </c>
      <c r="T209" s="220">
        <v>15</v>
      </c>
      <c r="U209" s="220">
        <f t="shared" si="58"/>
        <v>36.111111111111114</v>
      </c>
      <c r="V209" s="237">
        <f t="shared" si="66"/>
        <v>35640.583333332834</v>
      </c>
      <c r="W209" s="234">
        <v>97</v>
      </c>
      <c r="X209" s="234">
        <f t="shared" si="59"/>
        <v>36.111111111111114</v>
      </c>
      <c r="Y209" s="234">
        <v>46</v>
      </c>
      <c r="Z209" s="238">
        <f t="shared" si="60"/>
        <v>80.106150906864002</v>
      </c>
      <c r="AA209" s="238">
        <f t="shared" si="61"/>
        <v>26.725639392702245</v>
      </c>
      <c r="AB209" s="239">
        <f t="shared" si="62"/>
        <v>84.329613180148002</v>
      </c>
      <c r="AC209" s="239">
        <f t="shared" si="63"/>
        <v>29.072007322304469</v>
      </c>
      <c r="AD209" s="239">
        <f t="shared" si="67"/>
        <v>97</v>
      </c>
      <c r="AE209" s="239" t="b">
        <f t="shared" si="68"/>
        <v>0</v>
      </c>
      <c r="AF209" s="239">
        <f t="shared" si="76"/>
        <v>97</v>
      </c>
      <c r="AG209" s="239">
        <f t="shared" si="64"/>
        <v>36.111111111111114</v>
      </c>
      <c r="AH209" s="239">
        <f t="shared" si="65"/>
        <v>100</v>
      </c>
      <c r="AI209" s="238">
        <f t="shared" si="69"/>
        <v>56.908917608229444</v>
      </c>
      <c r="AJ209" s="238">
        <f t="shared" si="70"/>
        <v>46</v>
      </c>
      <c r="AK209" s="238">
        <f t="shared" si="71"/>
        <v>46</v>
      </c>
      <c r="AL209" s="238"/>
      <c r="AM209" s="240">
        <f t="shared" si="72"/>
        <v>3.3476249123871329E-2</v>
      </c>
      <c r="AN209" s="238">
        <f t="shared" si="73"/>
        <v>35.0001722472417</v>
      </c>
      <c r="AO209" s="240">
        <f t="shared" si="74"/>
        <v>5.8824259063100542E-2</v>
      </c>
      <c r="AP209" s="238">
        <f t="shared" si="75"/>
        <v>59.58897443092085</v>
      </c>
    </row>
    <row r="210" spans="1:42" ht="22.2" x14ac:dyDescent="0.7">
      <c r="A210" s="118"/>
      <c r="B210" s="118"/>
      <c r="C210" s="118"/>
      <c r="D210" s="118"/>
      <c r="R210" s="220">
        <v>7</v>
      </c>
      <c r="S210" s="220">
        <v>29</v>
      </c>
      <c r="T210" s="220">
        <v>16</v>
      </c>
      <c r="U210" s="220">
        <f t="shared" si="58"/>
        <v>36.666666666666664</v>
      </c>
      <c r="V210" s="237">
        <f t="shared" si="66"/>
        <v>35640.624999999498</v>
      </c>
      <c r="W210" s="234">
        <v>98</v>
      </c>
      <c r="X210" s="234">
        <f t="shared" si="59"/>
        <v>36.666666666666664</v>
      </c>
      <c r="Y210" s="234">
        <v>43</v>
      </c>
      <c r="Z210" s="238">
        <f t="shared" si="60"/>
        <v>79.777760710618466</v>
      </c>
      <c r="AA210" s="238">
        <f t="shared" si="61"/>
        <v>26.543200394788059</v>
      </c>
      <c r="AB210" s="239">
        <f t="shared" si="62"/>
        <v>84.333320532963853</v>
      </c>
      <c r="AC210" s="239">
        <f t="shared" si="63"/>
        <v>29.074066962757719</v>
      </c>
      <c r="AD210" s="239">
        <f t="shared" si="67"/>
        <v>98</v>
      </c>
      <c r="AE210" s="239" t="b">
        <f t="shared" si="68"/>
        <v>0</v>
      </c>
      <c r="AF210" s="239">
        <f t="shared" si="76"/>
        <v>98</v>
      </c>
      <c r="AG210" s="239">
        <f t="shared" si="64"/>
        <v>36.666666666666664</v>
      </c>
      <c r="AH210" s="239">
        <f t="shared" si="65"/>
        <v>100</v>
      </c>
      <c r="AI210" s="238">
        <f t="shared" si="69"/>
        <v>54.46365189933563</v>
      </c>
      <c r="AJ210" s="238">
        <f t="shared" si="70"/>
        <v>43</v>
      </c>
      <c r="AK210" s="238">
        <f t="shared" si="71"/>
        <v>43</v>
      </c>
      <c r="AL210" s="238"/>
      <c r="AM210" s="240">
        <f t="shared" si="72"/>
        <v>3.3025307473552951E-2</v>
      </c>
      <c r="AN210" s="238">
        <f t="shared" si="73"/>
        <v>34.627041283338279</v>
      </c>
      <c r="AO210" s="240">
        <f t="shared" si="74"/>
        <v>6.0637335767702728E-2</v>
      </c>
      <c r="AP210" s="238">
        <f t="shared" si="75"/>
        <v>61.425621132682863</v>
      </c>
    </row>
    <row r="211" spans="1:42" ht="22.2" x14ac:dyDescent="0.7">
      <c r="A211" s="118"/>
      <c r="B211" s="118"/>
      <c r="C211" s="118"/>
      <c r="D211" s="118"/>
      <c r="R211" s="220">
        <v>7</v>
      </c>
      <c r="S211" s="220">
        <v>29</v>
      </c>
      <c r="T211" s="220">
        <v>17</v>
      </c>
      <c r="U211" s="220">
        <f t="shared" si="58"/>
        <v>36.111111111111114</v>
      </c>
      <c r="V211" s="237">
        <f t="shared" si="66"/>
        <v>35640.666666666162</v>
      </c>
      <c r="W211" s="234">
        <v>97</v>
      </c>
      <c r="X211" s="234">
        <f t="shared" si="59"/>
        <v>36.111111111111114</v>
      </c>
      <c r="Y211" s="234">
        <v>46</v>
      </c>
      <c r="Z211" s="238">
        <f t="shared" si="60"/>
        <v>80.106150906864002</v>
      </c>
      <c r="AA211" s="238">
        <f t="shared" si="61"/>
        <v>26.725639392702245</v>
      </c>
      <c r="AB211" s="239">
        <f t="shared" si="62"/>
        <v>84.329613180148002</v>
      </c>
      <c r="AC211" s="239">
        <f t="shared" si="63"/>
        <v>29.072007322304469</v>
      </c>
      <c r="AD211" s="239">
        <f t="shared" si="67"/>
        <v>97</v>
      </c>
      <c r="AE211" s="239" t="b">
        <f t="shared" si="68"/>
        <v>0</v>
      </c>
      <c r="AF211" s="239">
        <f t="shared" si="76"/>
        <v>97</v>
      </c>
      <c r="AG211" s="239">
        <f t="shared" si="64"/>
        <v>36.111111111111114</v>
      </c>
      <c r="AH211" s="239">
        <f t="shared" si="65"/>
        <v>100</v>
      </c>
      <c r="AI211" s="238">
        <f t="shared" si="69"/>
        <v>56.908917608229444</v>
      </c>
      <c r="AJ211" s="238">
        <f t="shared" si="70"/>
        <v>46</v>
      </c>
      <c r="AK211" s="238">
        <f t="shared" si="71"/>
        <v>46</v>
      </c>
      <c r="AL211" s="238"/>
      <c r="AM211" s="240">
        <f t="shared" si="72"/>
        <v>3.3476249123871329E-2</v>
      </c>
      <c r="AN211" s="238">
        <f t="shared" si="73"/>
        <v>35.0001722472417</v>
      </c>
      <c r="AO211" s="240">
        <f t="shared" si="74"/>
        <v>5.8824259063100542E-2</v>
      </c>
      <c r="AP211" s="238">
        <f t="shared" si="75"/>
        <v>59.58897443092085</v>
      </c>
    </row>
    <row r="212" spans="1:42" ht="22.2" x14ac:dyDescent="0.7">
      <c r="A212" s="118"/>
      <c r="B212" s="118"/>
      <c r="C212" s="118"/>
      <c r="D212" s="118"/>
      <c r="R212" s="220">
        <v>7</v>
      </c>
      <c r="S212" s="220">
        <v>29</v>
      </c>
      <c r="T212" s="220">
        <v>18</v>
      </c>
      <c r="U212" s="220">
        <f t="shared" si="58"/>
        <v>32.777777777777779</v>
      </c>
      <c r="V212" s="237">
        <f t="shared" si="66"/>
        <v>35640.708333332826</v>
      </c>
      <c r="W212" s="234">
        <v>91</v>
      </c>
      <c r="X212" s="234">
        <f t="shared" si="59"/>
        <v>32.777777777777779</v>
      </c>
      <c r="Y212" s="234">
        <v>60</v>
      </c>
      <c r="Z212" s="238">
        <f t="shared" si="60"/>
        <v>79.68471791757166</v>
      </c>
      <c r="AA212" s="238">
        <f t="shared" si="61"/>
        <v>26.491509954206499</v>
      </c>
      <c r="AB212" s="239">
        <f t="shared" si="62"/>
        <v>82.513538438178742</v>
      </c>
      <c r="AC212" s="239">
        <f t="shared" si="63"/>
        <v>28.063076910099326</v>
      </c>
      <c r="AD212" s="239">
        <f t="shared" si="67"/>
        <v>91</v>
      </c>
      <c r="AE212" s="239" t="b">
        <f t="shared" si="68"/>
        <v>0</v>
      </c>
      <c r="AF212" s="239">
        <f t="shared" si="76"/>
        <v>91</v>
      </c>
      <c r="AG212" s="239">
        <f t="shared" si="64"/>
        <v>32.777777777777779</v>
      </c>
      <c r="AH212" s="239">
        <f t="shared" si="65"/>
        <v>100</v>
      </c>
      <c r="AI212" s="238">
        <f t="shared" si="69"/>
        <v>68.218259300304481</v>
      </c>
      <c r="AJ212" s="238">
        <f t="shared" si="70"/>
        <v>60</v>
      </c>
      <c r="AK212" s="238">
        <f t="shared" si="71"/>
        <v>60</v>
      </c>
      <c r="AL212" s="238"/>
      <c r="AM212" s="240">
        <f t="shared" si="72"/>
        <v>3.3359375324456882E-2</v>
      </c>
      <c r="AN212" s="238">
        <f t="shared" si="73"/>
        <v>34.521954224876509</v>
      </c>
      <c r="AO212" s="240">
        <f t="shared" si="74"/>
        <v>4.8900947732490714E-2</v>
      </c>
      <c r="AP212" s="238">
        <f t="shared" si="75"/>
        <v>49.536660053013094</v>
      </c>
    </row>
    <row r="213" spans="1:42" ht="22.2" x14ac:dyDescent="0.7">
      <c r="A213" s="118"/>
      <c r="B213" s="118"/>
      <c r="C213" s="118"/>
      <c r="D213" s="118"/>
      <c r="R213" s="220">
        <v>7</v>
      </c>
      <c r="S213" s="220">
        <v>29</v>
      </c>
      <c r="T213" s="220">
        <v>19</v>
      </c>
      <c r="U213" s="220">
        <f t="shared" si="58"/>
        <v>29.444444444444443</v>
      </c>
      <c r="V213" s="237">
        <f t="shared" si="66"/>
        <v>35640.749999999491</v>
      </c>
      <c r="W213" s="234">
        <v>85</v>
      </c>
      <c r="X213" s="234">
        <f t="shared" si="59"/>
        <v>29.444444444444443</v>
      </c>
      <c r="Y213" s="234">
        <v>70</v>
      </c>
      <c r="Z213" s="238">
        <f t="shared" si="60"/>
        <v>77.140648190442647</v>
      </c>
      <c r="AA213" s="238">
        <f t="shared" si="61"/>
        <v>25.07813788357927</v>
      </c>
      <c r="AB213" s="239">
        <f t="shared" si="62"/>
        <v>79.105486142831978</v>
      </c>
      <c r="AC213" s="239">
        <f t="shared" si="63"/>
        <v>26.169714523795566</v>
      </c>
      <c r="AD213" s="239">
        <f t="shared" si="67"/>
        <v>85</v>
      </c>
      <c r="AE213" s="239" t="b">
        <f t="shared" si="68"/>
        <v>0</v>
      </c>
      <c r="AF213" s="239">
        <f t="shared" si="76"/>
        <v>85</v>
      </c>
      <c r="AG213" s="239">
        <f t="shared" si="64"/>
        <v>29.444444444444443</v>
      </c>
      <c r="AH213" s="239">
        <f t="shared" si="65"/>
        <v>100</v>
      </c>
      <c r="AI213" s="238">
        <f t="shared" si="69"/>
        <v>76.24305999989609</v>
      </c>
      <c r="AJ213" s="238">
        <f t="shared" si="70"/>
        <v>70</v>
      </c>
      <c r="AK213" s="238">
        <f t="shared" si="71"/>
        <v>70</v>
      </c>
      <c r="AL213" s="238"/>
      <c r="AM213" s="240">
        <f t="shared" si="72"/>
        <v>3.0851480715187771E-2</v>
      </c>
      <c r="AN213" s="238">
        <f t="shared" si="73"/>
        <v>31.754189761734953</v>
      </c>
      <c r="AO213" s="240">
        <f t="shared" si="74"/>
        <v>4.0464641260765002E-2</v>
      </c>
      <c r="AP213" s="238">
        <f t="shared" si="75"/>
        <v>40.990681597154946</v>
      </c>
    </row>
    <row r="214" spans="1:42" ht="22.2" x14ac:dyDescent="0.7">
      <c r="A214" s="118"/>
      <c r="B214" s="118"/>
      <c r="C214" s="118"/>
      <c r="D214" s="118"/>
      <c r="R214" s="220">
        <v>7</v>
      </c>
      <c r="S214" s="220">
        <v>29</v>
      </c>
      <c r="T214" s="220">
        <v>20</v>
      </c>
      <c r="U214" s="220">
        <f t="shared" si="58"/>
        <v>27.777777777777779</v>
      </c>
      <c r="V214" s="237">
        <f t="shared" si="66"/>
        <v>35640.791666666155</v>
      </c>
      <c r="W214" s="234">
        <v>82</v>
      </c>
      <c r="X214" s="234">
        <f t="shared" si="59"/>
        <v>27.777777777777779</v>
      </c>
      <c r="Y214" s="234">
        <v>74</v>
      </c>
      <c r="Z214" s="238">
        <f t="shared" si="60"/>
        <v>75.414750570934558</v>
      </c>
      <c r="AA214" s="238">
        <f t="shared" si="61"/>
        <v>24.119305872741442</v>
      </c>
      <c r="AB214" s="239">
        <f t="shared" si="62"/>
        <v>77.061062928200926</v>
      </c>
      <c r="AC214" s="239">
        <f t="shared" si="63"/>
        <v>25.033923849000537</v>
      </c>
      <c r="AD214" s="239">
        <f t="shared" si="67"/>
        <v>82</v>
      </c>
      <c r="AE214" s="239" t="b">
        <f t="shared" si="68"/>
        <v>0</v>
      </c>
      <c r="AF214" s="239">
        <f t="shared" si="76"/>
        <v>82</v>
      </c>
      <c r="AG214" s="239">
        <f t="shared" si="64"/>
        <v>27.777777777777779</v>
      </c>
      <c r="AH214" s="239">
        <f t="shared" si="65"/>
        <v>100</v>
      </c>
      <c r="AI214" s="238">
        <f t="shared" si="69"/>
        <v>79.446305745561403</v>
      </c>
      <c r="AJ214" s="238">
        <f t="shared" si="70"/>
        <v>74</v>
      </c>
      <c r="AK214" s="238">
        <f t="shared" si="71"/>
        <v>74</v>
      </c>
      <c r="AL214" s="238"/>
      <c r="AM214" s="240">
        <f t="shared" si="72"/>
        <v>2.9191347531078042E-2</v>
      </c>
      <c r="AN214" s="238">
        <f t="shared" si="73"/>
        <v>29.988577120363978</v>
      </c>
      <c r="AO214" s="240">
        <f t="shared" si="74"/>
        <v>3.6743492673614889E-2</v>
      </c>
      <c r="AP214" s="238">
        <f t="shared" si="75"/>
        <v>37.221158078371879</v>
      </c>
    </row>
    <row r="215" spans="1:42" ht="22.2" x14ac:dyDescent="0.7">
      <c r="A215" s="118"/>
      <c r="B215" s="118"/>
      <c r="C215" s="118"/>
      <c r="D215" s="118"/>
      <c r="R215" s="220">
        <v>7</v>
      </c>
      <c r="S215" s="220">
        <v>29</v>
      </c>
      <c r="T215" s="220">
        <v>21</v>
      </c>
      <c r="U215" s="220">
        <f t="shared" si="58"/>
        <v>27.222222222222221</v>
      </c>
      <c r="V215" s="237">
        <f t="shared" si="66"/>
        <v>35640.833333332819</v>
      </c>
      <c r="W215" s="234">
        <v>81</v>
      </c>
      <c r="X215" s="234">
        <f t="shared" si="59"/>
        <v>27.222222222222221</v>
      </c>
      <c r="Y215" s="234">
        <v>77</v>
      </c>
      <c r="Z215" s="238">
        <f t="shared" si="60"/>
        <v>75.255445050401576</v>
      </c>
      <c r="AA215" s="238">
        <f t="shared" si="61"/>
        <v>24.030802805778674</v>
      </c>
      <c r="AB215" s="239">
        <f t="shared" si="62"/>
        <v>76.691583787801179</v>
      </c>
      <c r="AC215" s="239">
        <f t="shared" si="63"/>
        <v>24.828657659889565</v>
      </c>
      <c r="AD215" s="239">
        <f t="shared" si="67"/>
        <v>81</v>
      </c>
      <c r="AE215" s="239" t="b">
        <f t="shared" si="68"/>
        <v>0</v>
      </c>
      <c r="AF215" s="239">
        <f t="shared" si="76"/>
        <v>81</v>
      </c>
      <c r="AG215" s="239">
        <f t="shared" si="64"/>
        <v>27.222222222222221</v>
      </c>
      <c r="AH215" s="239">
        <f t="shared" si="65"/>
        <v>100</v>
      </c>
      <c r="AI215" s="238">
        <f t="shared" si="69"/>
        <v>81.772952657182273</v>
      </c>
      <c r="AJ215" s="238">
        <f t="shared" si="70"/>
        <v>77</v>
      </c>
      <c r="AK215" s="238">
        <f t="shared" si="71"/>
        <v>77</v>
      </c>
      <c r="AL215" s="238"/>
      <c r="AM215" s="240">
        <f t="shared" si="72"/>
        <v>2.9087599869141383E-2</v>
      </c>
      <c r="AN215" s="238">
        <f t="shared" si="73"/>
        <v>29.830010018528988</v>
      </c>
      <c r="AO215" s="240">
        <f t="shared" si="74"/>
        <v>3.5571174727034346E-2</v>
      </c>
      <c r="AP215" s="238">
        <f t="shared" si="75"/>
        <v>36.033599998485791</v>
      </c>
    </row>
    <row r="216" spans="1:42" ht="22.2" x14ac:dyDescent="0.7">
      <c r="A216" s="118"/>
      <c r="B216" s="118"/>
      <c r="C216" s="118"/>
      <c r="D216" s="118"/>
      <c r="R216" s="220">
        <v>7</v>
      </c>
      <c r="S216" s="220">
        <v>29</v>
      </c>
      <c r="T216" s="220">
        <v>22</v>
      </c>
      <c r="U216" s="220">
        <f t="shared" si="58"/>
        <v>26.111111111111111</v>
      </c>
      <c r="V216" s="237">
        <f t="shared" si="66"/>
        <v>35640.874999999483</v>
      </c>
      <c r="W216" s="234">
        <v>79</v>
      </c>
      <c r="X216" s="234">
        <f t="shared" si="59"/>
        <v>26.111111111111111</v>
      </c>
      <c r="Y216" s="234">
        <v>82</v>
      </c>
      <c r="Z216" s="238">
        <f t="shared" si="60"/>
        <v>74.618145716647902</v>
      </c>
      <c r="AA216" s="238">
        <f t="shared" si="61"/>
        <v>23.676747620359965</v>
      </c>
      <c r="AB216" s="239">
        <f t="shared" si="62"/>
        <v>75.713609287485923</v>
      </c>
      <c r="AC216" s="239">
        <f t="shared" si="63"/>
        <v>24.285338493047757</v>
      </c>
      <c r="AD216" s="239">
        <f t="shared" si="67"/>
        <v>79</v>
      </c>
      <c r="AE216" s="239" t="b">
        <f t="shared" si="68"/>
        <v>0</v>
      </c>
      <c r="AF216" s="239">
        <f t="shared" si="76"/>
        <v>79</v>
      </c>
      <c r="AG216" s="239">
        <f t="shared" si="64"/>
        <v>26.111111111111111</v>
      </c>
      <c r="AH216" s="239">
        <f t="shared" si="65"/>
        <v>100</v>
      </c>
      <c r="AI216" s="238">
        <f t="shared" si="69"/>
        <v>85.687571228425071</v>
      </c>
      <c r="AJ216" s="238">
        <f t="shared" si="70"/>
        <v>82</v>
      </c>
      <c r="AK216" s="238">
        <f t="shared" si="71"/>
        <v>82</v>
      </c>
      <c r="AL216" s="238"/>
      <c r="AM216" s="240">
        <f t="shared" si="72"/>
        <v>2.8554440268492791E-2</v>
      </c>
      <c r="AN216" s="238">
        <f t="shared" si="73"/>
        <v>29.202957964341937</v>
      </c>
      <c r="AO216" s="240">
        <f t="shared" si="74"/>
        <v>3.3323899673119044E-2</v>
      </c>
      <c r="AP216" s="238">
        <f t="shared" si="75"/>
        <v>33.75711036886959</v>
      </c>
    </row>
    <row r="217" spans="1:42" ht="22.2" x14ac:dyDescent="0.7">
      <c r="A217" s="118"/>
      <c r="B217" s="118"/>
      <c r="C217" s="118"/>
      <c r="D217" s="118"/>
      <c r="R217" s="220">
        <v>7</v>
      </c>
      <c r="S217" s="220">
        <v>29</v>
      </c>
      <c r="T217" s="220">
        <v>23</v>
      </c>
      <c r="U217" s="220">
        <f t="shared" si="58"/>
        <v>25.555555555555557</v>
      </c>
      <c r="V217" s="237">
        <f t="shared" si="66"/>
        <v>35640.916666666148</v>
      </c>
      <c r="W217" s="234">
        <v>78</v>
      </c>
      <c r="X217" s="234">
        <f t="shared" si="59"/>
        <v>25.555555555555557</v>
      </c>
      <c r="Y217" s="234">
        <v>85</v>
      </c>
      <c r="Z217" s="238">
        <f t="shared" si="60"/>
        <v>74.399090172530876</v>
      </c>
      <c r="AA217" s="238">
        <f t="shared" si="61"/>
        <v>23.555050095850508</v>
      </c>
      <c r="AB217" s="239">
        <f t="shared" si="62"/>
        <v>75.299317629398161</v>
      </c>
      <c r="AC217" s="239">
        <f t="shared" si="63"/>
        <v>24.055176460776774</v>
      </c>
      <c r="AD217" s="239">
        <f t="shared" si="67"/>
        <v>78</v>
      </c>
      <c r="AE217" s="239" t="b">
        <f t="shared" si="68"/>
        <v>0</v>
      </c>
      <c r="AF217" s="239">
        <f t="shared" si="76"/>
        <v>78</v>
      </c>
      <c r="AG217" s="239">
        <f t="shared" si="64"/>
        <v>25.555555555555557</v>
      </c>
      <c r="AH217" s="239">
        <f t="shared" si="65"/>
        <v>100</v>
      </c>
      <c r="AI217" s="238">
        <f t="shared" si="69"/>
        <v>88.048095929273913</v>
      </c>
      <c r="AJ217" s="238">
        <f t="shared" si="70"/>
        <v>85</v>
      </c>
      <c r="AK217" s="238">
        <f t="shared" si="71"/>
        <v>85</v>
      </c>
      <c r="AL217" s="238"/>
      <c r="AM217" s="240">
        <f t="shared" si="72"/>
        <v>2.8393234842219395E-2</v>
      </c>
      <c r="AN217" s="238">
        <f t="shared" si="73"/>
        <v>28.990097276765955</v>
      </c>
      <c r="AO217" s="240">
        <f t="shared" si="74"/>
        <v>3.2247414941291554E-2</v>
      </c>
      <c r="AP217" s="238">
        <f t="shared" si="75"/>
        <v>32.666631335528344</v>
      </c>
    </row>
    <row r="218" spans="1:42" ht="22.2" x14ac:dyDescent="0.7">
      <c r="A218" s="118"/>
      <c r="B218" s="118"/>
      <c r="C218" s="118"/>
      <c r="D218" s="118"/>
      <c r="R218" s="220">
        <v>7</v>
      </c>
      <c r="S218" s="220">
        <v>29</v>
      </c>
      <c r="T218" s="220">
        <v>24</v>
      </c>
      <c r="U218" s="220">
        <f t="shared" si="58"/>
        <v>25.555555555555557</v>
      </c>
      <c r="V218" s="237">
        <f t="shared" si="66"/>
        <v>35640.958333332812</v>
      </c>
      <c r="W218" s="234">
        <v>78</v>
      </c>
      <c r="X218" s="234">
        <f t="shared" si="59"/>
        <v>25.555555555555557</v>
      </c>
      <c r="Y218" s="234">
        <v>85</v>
      </c>
      <c r="Z218" s="238">
        <f t="shared" si="60"/>
        <v>74.399090172530876</v>
      </c>
      <c r="AA218" s="238">
        <f t="shared" si="61"/>
        <v>23.555050095850508</v>
      </c>
      <c r="AB218" s="239">
        <f t="shared" si="62"/>
        <v>75.299317629398161</v>
      </c>
      <c r="AC218" s="239">
        <f t="shared" si="63"/>
        <v>24.055176460776774</v>
      </c>
      <c r="AD218" s="239">
        <f t="shared" si="67"/>
        <v>78</v>
      </c>
      <c r="AE218" s="239" t="b">
        <f t="shared" si="68"/>
        <v>0</v>
      </c>
      <c r="AF218" s="239">
        <f t="shared" si="76"/>
        <v>78</v>
      </c>
      <c r="AG218" s="239">
        <f t="shared" si="64"/>
        <v>25.555555555555557</v>
      </c>
      <c r="AH218" s="239">
        <f t="shared" si="65"/>
        <v>100</v>
      </c>
      <c r="AI218" s="238">
        <f t="shared" si="69"/>
        <v>88.048095929273913</v>
      </c>
      <c r="AJ218" s="238">
        <f t="shared" si="70"/>
        <v>85</v>
      </c>
      <c r="AK218" s="238">
        <f t="shared" si="71"/>
        <v>85</v>
      </c>
      <c r="AL218" s="238"/>
      <c r="AM218" s="240">
        <f t="shared" si="72"/>
        <v>2.8393234842219395E-2</v>
      </c>
      <c r="AN218" s="238">
        <f t="shared" si="73"/>
        <v>28.990097276765955</v>
      </c>
      <c r="AO218" s="240">
        <f t="shared" si="74"/>
        <v>3.2247414941291554E-2</v>
      </c>
      <c r="AP218" s="238">
        <f t="shared" si="75"/>
        <v>32.666631335528344</v>
      </c>
    </row>
    <row r="219" spans="1:42" ht="22.2" x14ac:dyDescent="0.7">
      <c r="A219" s="118"/>
      <c r="B219" s="118"/>
      <c r="C219" s="118"/>
      <c r="D219" s="118"/>
      <c r="R219" s="220">
        <v>7</v>
      </c>
      <c r="S219" s="220">
        <v>30</v>
      </c>
      <c r="T219" s="220">
        <v>1</v>
      </c>
      <c r="U219" s="220">
        <f t="shared" si="58"/>
        <v>25</v>
      </c>
      <c r="V219" s="237">
        <f t="shared" si="66"/>
        <v>35640.999999999476</v>
      </c>
      <c r="W219" s="234">
        <v>77</v>
      </c>
      <c r="X219" s="234">
        <f t="shared" si="59"/>
        <v>25</v>
      </c>
      <c r="Y219" s="234">
        <v>88</v>
      </c>
      <c r="Z219" s="238">
        <f t="shared" si="60"/>
        <v>74.161629187045833</v>
      </c>
      <c r="AA219" s="238">
        <f t="shared" si="61"/>
        <v>23.423127326136594</v>
      </c>
      <c r="AB219" s="239">
        <f t="shared" si="62"/>
        <v>74.871221890284374</v>
      </c>
      <c r="AC219" s="239">
        <f t="shared" si="63"/>
        <v>23.817345494602449</v>
      </c>
      <c r="AD219" s="239">
        <f t="shared" si="67"/>
        <v>77</v>
      </c>
      <c r="AE219" s="239" t="b">
        <f t="shared" si="68"/>
        <v>0</v>
      </c>
      <c r="AF219" s="239">
        <f t="shared" si="76"/>
        <v>77</v>
      </c>
      <c r="AG219" s="239">
        <f t="shared" si="64"/>
        <v>25</v>
      </c>
      <c r="AH219" s="239">
        <f t="shared" si="65"/>
        <v>100</v>
      </c>
      <c r="AI219" s="238">
        <f t="shared" si="69"/>
        <v>90.427723683657206</v>
      </c>
      <c r="AJ219" s="238">
        <f t="shared" si="70"/>
        <v>88</v>
      </c>
      <c r="AK219" s="238">
        <f t="shared" si="71"/>
        <v>88</v>
      </c>
      <c r="AL219" s="238"/>
      <c r="AM219" s="240">
        <f t="shared" si="72"/>
        <v>2.8214689443363215E-2</v>
      </c>
      <c r="AN219" s="238">
        <f t="shared" si="73"/>
        <v>28.760882326182024</v>
      </c>
      <c r="AO219" s="240">
        <f t="shared" si="74"/>
        <v>3.1201370878323226E-2</v>
      </c>
      <c r="AP219" s="238">
        <f t="shared" si="75"/>
        <v>31.606988699741429</v>
      </c>
    </row>
    <row r="220" spans="1:42" ht="22.2" x14ac:dyDescent="0.7">
      <c r="A220" s="118"/>
      <c r="B220" s="118"/>
      <c r="C220" s="118"/>
      <c r="D220" s="118"/>
      <c r="R220" s="220">
        <v>7</v>
      </c>
      <c r="S220" s="220">
        <v>30</v>
      </c>
      <c r="T220" s="220">
        <v>2</v>
      </c>
      <c r="U220" s="220">
        <f t="shared" si="58"/>
        <v>25.555555555555557</v>
      </c>
      <c r="V220" s="237">
        <f t="shared" si="66"/>
        <v>35641.04166666614</v>
      </c>
      <c r="W220" s="234">
        <v>78</v>
      </c>
      <c r="X220" s="234">
        <f t="shared" si="59"/>
        <v>25.555555555555557</v>
      </c>
      <c r="Y220" s="234">
        <v>85</v>
      </c>
      <c r="Z220" s="238">
        <f t="shared" si="60"/>
        <v>74.399090172530876</v>
      </c>
      <c r="AA220" s="238">
        <f t="shared" si="61"/>
        <v>23.555050095850508</v>
      </c>
      <c r="AB220" s="239">
        <f t="shared" si="62"/>
        <v>75.299317629398161</v>
      </c>
      <c r="AC220" s="239">
        <f t="shared" si="63"/>
        <v>24.055176460776774</v>
      </c>
      <c r="AD220" s="239">
        <f t="shared" si="67"/>
        <v>78</v>
      </c>
      <c r="AE220" s="239" t="b">
        <f t="shared" si="68"/>
        <v>0</v>
      </c>
      <c r="AF220" s="239">
        <f t="shared" si="76"/>
        <v>78</v>
      </c>
      <c r="AG220" s="239">
        <f t="shared" si="64"/>
        <v>25.555555555555557</v>
      </c>
      <c r="AH220" s="239">
        <f t="shared" si="65"/>
        <v>100</v>
      </c>
      <c r="AI220" s="238">
        <f t="shared" si="69"/>
        <v>88.048095929273913</v>
      </c>
      <c r="AJ220" s="238">
        <f t="shared" si="70"/>
        <v>85</v>
      </c>
      <c r="AK220" s="238">
        <f t="shared" si="71"/>
        <v>85</v>
      </c>
      <c r="AL220" s="238"/>
      <c r="AM220" s="240">
        <f t="shared" si="72"/>
        <v>2.8393234842219395E-2</v>
      </c>
      <c r="AN220" s="238">
        <f t="shared" si="73"/>
        <v>28.990097276765955</v>
      </c>
      <c r="AO220" s="240">
        <f t="shared" si="74"/>
        <v>3.2247414941291554E-2</v>
      </c>
      <c r="AP220" s="238">
        <f t="shared" si="75"/>
        <v>32.666631335528344</v>
      </c>
    </row>
    <row r="221" spans="1:42" ht="22.2" x14ac:dyDescent="0.7">
      <c r="A221" s="118"/>
      <c r="B221" s="118"/>
      <c r="C221" s="118"/>
      <c r="D221" s="118"/>
      <c r="R221" s="220">
        <v>7</v>
      </c>
      <c r="S221" s="220">
        <v>30</v>
      </c>
      <c r="T221" s="220">
        <v>3</v>
      </c>
      <c r="U221" s="220">
        <f t="shared" si="58"/>
        <v>25</v>
      </c>
      <c r="V221" s="237">
        <f t="shared" si="66"/>
        <v>35641.083333332805</v>
      </c>
      <c r="W221" s="234">
        <v>77</v>
      </c>
      <c r="X221" s="234">
        <f t="shared" si="59"/>
        <v>25</v>
      </c>
      <c r="Y221" s="234">
        <v>91</v>
      </c>
      <c r="Z221" s="238">
        <f t="shared" si="60"/>
        <v>74.894462309033202</v>
      </c>
      <c r="AA221" s="238">
        <f t="shared" si="61"/>
        <v>23.830256838351797</v>
      </c>
      <c r="AB221" s="239">
        <f t="shared" si="62"/>
        <v>75.420846731774901</v>
      </c>
      <c r="AC221" s="239">
        <f t="shared" si="63"/>
        <v>24.122692628763854</v>
      </c>
      <c r="AD221" s="239">
        <f t="shared" si="67"/>
        <v>77</v>
      </c>
      <c r="AE221" s="239" t="b">
        <f t="shared" si="68"/>
        <v>0</v>
      </c>
      <c r="AF221" s="239">
        <f t="shared" si="76"/>
        <v>77</v>
      </c>
      <c r="AG221" s="239">
        <f t="shared" si="64"/>
        <v>25</v>
      </c>
      <c r="AH221" s="239">
        <f t="shared" si="65"/>
        <v>100</v>
      </c>
      <c r="AI221" s="238">
        <f t="shared" si="69"/>
        <v>92.827415886717418</v>
      </c>
      <c r="AJ221" s="238">
        <f t="shared" si="70"/>
        <v>91</v>
      </c>
      <c r="AK221" s="238">
        <f t="shared" si="71"/>
        <v>91</v>
      </c>
      <c r="AL221" s="238"/>
      <c r="AM221" s="240">
        <f t="shared" si="72"/>
        <v>2.8963426307578234E-2</v>
      </c>
      <c r="AN221" s="238">
        <f t="shared" si="73"/>
        <v>29.473404745358618</v>
      </c>
      <c r="AO221" s="240">
        <f t="shared" si="74"/>
        <v>3.1201370878323226E-2</v>
      </c>
      <c r="AP221" s="238">
        <f t="shared" si="75"/>
        <v>31.606988699741429</v>
      </c>
    </row>
    <row r="222" spans="1:42" ht="22.2" x14ac:dyDescent="0.7">
      <c r="A222" s="118"/>
      <c r="B222" s="118"/>
      <c r="C222" s="118"/>
      <c r="D222" s="118"/>
      <c r="R222" s="220">
        <v>7</v>
      </c>
      <c r="S222" s="220">
        <v>30</v>
      </c>
      <c r="T222" s="220">
        <v>4</v>
      </c>
      <c r="U222" s="220">
        <f t="shared" si="58"/>
        <v>24.444444444444443</v>
      </c>
      <c r="V222" s="237">
        <f t="shared" si="66"/>
        <v>35641.124999999469</v>
      </c>
      <c r="W222" s="234">
        <v>76</v>
      </c>
      <c r="X222" s="234">
        <f t="shared" si="59"/>
        <v>24.444444444444443</v>
      </c>
      <c r="Y222" s="234">
        <v>94</v>
      </c>
      <c r="Z222" s="238">
        <f t="shared" si="60"/>
        <v>74.63104710423832</v>
      </c>
      <c r="AA222" s="238">
        <f t="shared" si="61"/>
        <v>23.683915057910198</v>
      </c>
      <c r="AB222" s="239">
        <f t="shared" si="62"/>
        <v>74.973285328178747</v>
      </c>
      <c r="AC222" s="239">
        <f t="shared" si="63"/>
        <v>23.87404740454377</v>
      </c>
      <c r="AD222" s="239">
        <f t="shared" si="67"/>
        <v>76</v>
      </c>
      <c r="AE222" s="239" t="b">
        <f t="shared" si="68"/>
        <v>0</v>
      </c>
      <c r="AF222" s="239">
        <f t="shared" si="76"/>
        <v>76</v>
      </c>
      <c r="AG222" s="239">
        <f t="shared" si="64"/>
        <v>24.444444444444443</v>
      </c>
      <c r="AH222" s="239">
        <f t="shared" si="65"/>
        <v>100</v>
      </c>
      <c r="AI222" s="238">
        <f t="shared" si="69"/>
        <v>95.262494797251676</v>
      </c>
      <c r="AJ222" s="238">
        <f t="shared" si="70"/>
        <v>94</v>
      </c>
      <c r="AK222" s="238">
        <f t="shared" si="71"/>
        <v>94</v>
      </c>
      <c r="AL222" s="238"/>
      <c r="AM222" s="240">
        <f t="shared" si="72"/>
        <v>2.8755021420490322E-2</v>
      </c>
      <c r="AN222" s="238">
        <f t="shared" si="73"/>
        <v>29.215536920524222</v>
      </c>
      <c r="AO222" s="240">
        <f t="shared" si="74"/>
        <v>3.0185039224187846E-2</v>
      </c>
      <c r="AP222" s="238">
        <f t="shared" si="75"/>
        <v>30.577444734102286</v>
      </c>
    </row>
    <row r="223" spans="1:42" ht="22.2" x14ac:dyDescent="0.7">
      <c r="A223" s="118"/>
      <c r="B223" s="118"/>
      <c r="C223" s="118"/>
      <c r="D223" s="118"/>
      <c r="R223" s="220">
        <v>7</v>
      </c>
      <c r="S223" s="220">
        <v>30</v>
      </c>
      <c r="T223" s="220">
        <v>5</v>
      </c>
      <c r="U223" s="220">
        <f t="shared" si="58"/>
        <v>24.444444444444443</v>
      </c>
      <c r="V223" s="237">
        <f t="shared" si="66"/>
        <v>35641.166666666133</v>
      </c>
      <c r="W223" s="234">
        <v>76</v>
      </c>
      <c r="X223" s="234">
        <f t="shared" si="59"/>
        <v>24.444444444444443</v>
      </c>
      <c r="Y223" s="234">
        <v>90</v>
      </c>
      <c r="Z223" s="238">
        <f t="shared" si="60"/>
        <v>73.665456930368649</v>
      </c>
      <c r="AA223" s="238">
        <f t="shared" si="61"/>
        <v>23.147476072427047</v>
      </c>
      <c r="AB223" s="239">
        <f t="shared" si="62"/>
        <v>74.24909269777649</v>
      </c>
      <c r="AC223" s="239">
        <f t="shared" si="63"/>
        <v>23.471718165431405</v>
      </c>
      <c r="AD223" s="239">
        <f t="shared" si="67"/>
        <v>76</v>
      </c>
      <c r="AE223" s="239" t="b">
        <f t="shared" si="68"/>
        <v>0</v>
      </c>
      <c r="AF223" s="239">
        <f t="shared" si="76"/>
        <v>76</v>
      </c>
      <c r="AG223" s="239">
        <f t="shared" si="64"/>
        <v>24.444444444444443</v>
      </c>
      <c r="AH223" s="239">
        <f t="shared" si="65"/>
        <v>100</v>
      </c>
      <c r="AI223" s="238">
        <f t="shared" si="69"/>
        <v>92.027711714467671</v>
      </c>
      <c r="AJ223" s="238">
        <f t="shared" si="70"/>
        <v>90</v>
      </c>
      <c r="AK223" s="238">
        <f t="shared" si="71"/>
        <v>90</v>
      </c>
      <c r="AL223" s="238"/>
      <c r="AM223" s="240">
        <f t="shared" si="72"/>
        <v>2.7778600878134579E-2</v>
      </c>
      <c r="AN223" s="238">
        <f t="shared" si="73"/>
        <v>28.287039863990454</v>
      </c>
      <c r="AO223" s="240">
        <f t="shared" si="74"/>
        <v>3.0185039224187846E-2</v>
      </c>
      <c r="AP223" s="238">
        <f t="shared" si="75"/>
        <v>30.577444734102286</v>
      </c>
    </row>
    <row r="224" spans="1:42" ht="22.2" x14ac:dyDescent="0.7">
      <c r="A224" s="118"/>
      <c r="B224" s="118"/>
      <c r="C224" s="118"/>
      <c r="D224" s="118"/>
      <c r="R224" s="220">
        <v>7</v>
      </c>
      <c r="S224" s="220">
        <v>30</v>
      </c>
      <c r="T224" s="220">
        <v>6</v>
      </c>
      <c r="U224" s="220">
        <f t="shared" si="58"/>
        <v>25</v>
      </c>
      <c r="V224" s="237">
        <f t="shared" si="66"/>
        <v>35641.208333332797</v>
      </c>
      <c r="W224" s="234">
        <v>77</v>
      </c>
      <c r="X224" s="234">
        <f t="shared" si="59"/>
        <v>25</v>
      </c>
      <c r="Y224" s="234">
        <v>88</v>
      </c>
      <c r="Z224" s="238">
        <f t="shared" si="60"/>
        <v>74.161629187045833</v>
      </c>
      <c r="AA224" s="238">
        <f t="shared" si="61"/>
        <v>23.423127326136594</v>
      </c>
      <c r="AB224" s="239">
        <f t="shared" si="62"/>
        <v>74.871221890284374</v>
      </c>
      <c r="AC224" s="239">
        <f t="shared" si="63"/>
        <v>23.817345494602449</v>
      </c>
      <c r="AD224" s="239">
        <f t="shared" si="67"/>
        <v>77</v>
      </c>
      <c r="AE224" s="239" t="b">
        <f t="shared" si="68"/>
        <v>0</v>
      </c>
      <c r="AF224" s="239">
        <f t="shared" si="76"/>
        <v>77</v>
      </c>
      <c r="AG224" s="239">
        <f t="shared" si="64"/>
        <v>25</v>
      </c>
      <c r="AH224" s="239">
        <f t="shared" si="65"/>
        <v>100</v>
      </c>
      <c r="AI224" s="238">
        <f t="shared" si="69"/>
        <v>90.427723683657206</v>
      </c>
      <c r="AJ224" s="238">
        <f t="shared" si="70"/>
        <v>88</v>
      </c>
      <c r="AK224" s="238">
        <f t="shared" si="71"/>
        <v>88</v>
      </c>
      <c r="AL224" s="238"/>
      <c r="AM224" s="240">
        <f t="shared" si="72"/>
        <v>2.8214689443363215E-2</v>
      </c>
      <c r="AN224" s="238">
        <f t="shared" si="73"/>
        <v>28.760882326182024</v>
      </c>
      <c r="AO224" s="240">
        <f t="shared" si="74"/>
        <v>3.1201370878323226E-2</v>
      </c>
      <c r="AP224" s="238">
        <f t="shared" si="75"/>
        <v>31.606988699741429</v>
      </c>
    </row>
    <row r="225" spans="1:42" ht="22.2" x14ac:dyDescent="0.7">
      <c r="A225" s="118"/>
      <c r="B225" s="118"/>
      <c r="C225" s="118"/>
      <c r="D225" s="118"/>
      <c r="R225" s="220">
        <v>7</v>
      </c>
      <c r="S225" s="220">
        <v>30</v>
      </c>
      <c r="T225" s="220">
        <v>7</v>
      </c>
      <c r="U225" s="220">
        <f t="shared" si="58"/>
        <v>26.111111111111111</v>
      </c>
      <c r="V225" s="237">
        <f t="shared" si="66"/>
        <v>35641.249999999462</v>
      </c>
      <c r="W225" s="234">
        <v>79</v>
      </c>
      <c r="X225" s="234">
        <f t="shared" si="59"/>
        <v>26.111111111111111</v>
      </c>
      <c r="Y225" s="234">
        <v>85</v>
      </c>
      <c r="Z225" s="238">
        <f t="shared" si="60"/>
        <v>75.371998039037152</v>
      </c>
      <c r="AA225" s="238">
        <f t="shared" si="61"/>
        <v>24.095554466131773</v>
      </c>
      <c r="AB225" s="239">
        <f t="shared" si="62"/>
        <v>76.278998529277857</v>
      </c>
      <c r="AC225" s="239">
        <f t="shared" si="63"/>
        <v>24.599443627376608</v>
      </c>
      <c r="AD225" s="239">
        <f t="shared" si="67"/>
        <v>79</v>
      </c>
      <c r="AE225" s="239" t="b">
        <f t="shared" si="68"/>
        <v>0</v>
      </c>
      <c r="AF225" s="239">
        <f t="shared" si="76"/>
        <v>79</v>
      </c>
      <c r="AG225" s="239">
        <f t="shared" si="64"/>
        <v>26.111111111111111</v>
      </c>
      <c r="AH225" s="239">
        <f t="shared" si="65"/>
        <v>100</v>
      </c>
      <c r="AI225" s="238">
        <f t="shared" si="69"/>
        <v>88.027921110303993</v>
      </c>
      <c r="AJ225" s="238">
        <f t="shared" si="70"/>
        <v>85</v>
      </c>
      <c r="AK225" s="238">
        <f t="shared" si="71"/>
        <v>85</v>
      </c>
      <c r="AL225" s="238"/>
      <c r="AM225" s="240">
        <f t="shared" si="72"/>
        <v>2.9334336115130078E-2</v>
      </c>
      <c r="AN225" s="238">
        <f t="shared" si="73"/>
        <v>29.945950730448679</v>
      </c>
      <c r="AO225" s="240">
        <f t="shared" si="74"/>
        <v>3.3323899673119044E-2</v>
      </c>
      <c r="AP225" s="238">
        <f t="shared" si="75"/>
        <v>33.75711036886959</v>
      </c>
    </row>
    <row r="226" spans="1:42" ht="22.2" x14ac:dyDescent="0.7">
      <c r="A226" s="118"/>
      <c r="B226" s="118"/>
      <c r="C226" s="118"/>
      <c r="D226" s="118"/>
      <c r="R226" s="220">
        <v>7</v>
      </c>
      <c r="S226" s="220">
        <v>30</v>
      </c>
      <c r="T226" s="220">
        <v>8</v>
      </c>
      <c r="U226" s="220">
        <f t="shared" si="58"/>
        <v>27.222222222222221</v>
      </c>
      <c r="V226" s="237">
        <f t="shared" si="66"/>
        <v>35641.291666666126</v>
      </c>
      <c r="W226" s="234">
        <v>81</v>
      </c>
      <c r="X226" s="234">
        <f t="shared" si="59"/>
        <v>27.222222222222221</v>
      </c>
      <c r="Y226" s="234">
        <v>82</v>
      </c>
      <c r="Z226" s="238">
        <f t="shared" si="60"/>
        <v>76.5487187084087</v>
      </c>
      <c r="AA226" s="238">
        <f t="shared" si="61"/>
        <v>24.749288171338186</v>
      </c>
      <c r="AB226" s="239">
        <f t="shared" si="62"/>
        <v>77.661539031306518</v>
      </c>
      <c r="AC226" s="239">
        <f t="shared" si="63"/>
        <v>25.367521684059199</v>
      </c>
      <c r="AD226" s="239">
        <f t="shared" si="67"/>
        <v>81</v>
      </c>
      <c r="AE226" s="239" t="b">
        <f t="shared" si="68"/>
        <v>0</v>
      </c>
      <c r="AF226" s="239">
        <f t="shared" si="76"/>
        <v>81</v>
      </c>
      <c r="AG226" s="239">
        <f t="shared" si="64"/>
        <v>27.222222222222221</v>
      </c>
      <c r="AH226" s="239">
        <f t="shared" si="65"/>
        <v>100</v>
      </c>
      <c r="AI226" s="238">
        <f t="shared" si="69"/>
        <v>85.628388219831862</v>
      </c>
      <c r="AJ226" s="238">
        <f t="shared" si="70"/>
        <v>82</v>
      </c>
      <c r="AK226" s="238">
        <f t="shared" si="71"/>
        <v>82</v>
      </c>
      <c r="AL226" s="238"/>
      <c r="AM226" s="240">
        <f t="shared" si="72"/>
        <v>3.0459023589619688E-2</v>
      </c>
      <c r="AN226" s="238">
        <f t="shared" si="73"/>
        <v>31.138691823638794</v>
      </c>
      <c r="AO226" s="240">
        <f t="shared" si="74"/>
        <v>3.5571174727034346E-2</v>
      </c>
      <c r="AP226" s="238">
        <f t="shared" si="75"/>
        <v>36.033599998485791</v>
      </c>
    </row>
    <row r="227" spans="1:42" ht="22.2" x14ac:dyDescent="0.7">
      <c r="A227" s="118"/>
      <c r="B227" s="118"/>
      <c r="C227" s="118"/>
      <c r="D227" s="118"/>
      <c r="R227" s="220">
        <v>7</v>
      </c>
      <c r="S227" s="220">
        <v>30</v>
      </c>
      <c r="T227" s="220">
        <v>9</v>
      </c>
      <c r="U227" s="220">
        <f t="shared" si="58"/>
        <v>27.222222222222221</v>
      </c>
      <c r="V227" s="237">
        <f t="shared" si="66"/>
        <v>35641.33333333279</v>
      </c>
      <c r="W227" s="234">
        <v>81</v>
      </c>
      <c r="X227" s="234">
        <f t="shared" si="59"/>
        <v>27.222222222222221</v>
      </c>
      <c r="Y227" s="234">
        <v>82</v>
      </c>
      <c r="Z227" s="238">
        <f t="shared" si="60"/>
        <v>76.5487187084087</v>
      </c>
      <c r="AA227" s="238">
        <f t="shared" si="61"/>
        <v>24.749288171338186</v>
      </c>
      <c r="AB227" s="239">
        <f t="shared" si="62"/>
        <v>77.661539031306518</v>
      </c>
      <c r="AC227" s="239">
        <f t="shared" si="63"/>
        <v>25.367521684059199</v>
      </c>
      <c r="AD227" s="239">
        <f t="shared" si="67"/>
        <v>81</v>
      </c>
      <c r="AE227" s="239" t="b">
        <f t="shared" si="68"/>
        <v>0</v>
      </c>
      <c r="AF227" s="239">
        <f t="shared" si="76"/>
        <v>81</v>
      </c>
      <c r="AG227" s="239">
        <f t="shared" si="64"/>
        <v>27.222222222222221</v>
      </c>
      <c r="AH227" s="239">
        <f t="shared" si="65"/>
        <v>100</v>
      </c>
      <c r="AI227" s="238">
        <f t="shared" si="69"/>
        <v>85.628388219831862</v>
      </c>
      <c r="AJ227" s="238">
        <f t="shared" si="70"/>
        <v>82</v>
      </c>
      <c r="AK227" s="238">
        <f t="shared" si="71"/>
        <v>82</v>
      </c>
      <c r="AL227" s="238"/>
      <c r="AM227" s="240">
        <f t="shared" si="72"/>
        <v>3.0459023589619688E-2</v>
      </c>
      <c r="AN227" s="238">
        <f t="shared" si="73"/>
        <v>31.138691823638794</v>
      </c>
      <c r="AO227" s="240">
        <f t="shared" si="74"/>
        <v>3.5571174727034346E-2</v>
      </c>
      <c r="AP227" s="238">
        <f t="shared" si="75"/>
        <v>36.033599998485791</v>
      </c>
    </row>
    <row r="228" spans="1:42" ht="22.2" x14ac:dyDescent="0.7">
      <c r="A228" s="118"/>
      <c r="B228" s="118"/>
      <c r="C228" s="118"/>
      <c r="D228" s="118"/>
      <c r="R228" s="220">
        <v>7</v>
      </c>
      <c r="S228" s="220">
        <v>30</v>
      </c>
      <c r="T228" s="220">
        <v>10</v>
      </c>
      <c r="U228" s="220">
        <f t="shared" si="58"/>
        <v>27.222222222222221</v>
      </c>
      <c r="V228" s="237">
        <f t="shared" si="66"/>
        <v>35641.374999999454</v>
      </c>
      <c r="W228" s="234">
        <v>81</v>
      </c>
      <c r="X228" s="234">
        <f t="shared" si="59"/>
        <v>27.222222222222221</v>
      </c>
      <c r="Y228" s="234">
        <v>82</v>
      </c>
      <c r="Z228" s="238">
        <f t="shared" si="60"/>
        <v>76.5487187084087</v>
      </c>
      <c r="AA228" s="238">
        <f t="shared" si="61"/>
        <v>24.749288171338186</v>
      </c>
      <c r="AB228" s="239">
        <f t="shared" si="62"/>
        <v>77.661539031306518</v>
      </c>
      <c r="AC228" s="239">
        <f t="shared" si="63"/>
        <v>25.367521684059199</v>
      </c>
      <c r="AD228" s="239">
        <f t="shared" si="67"/>
        <v>81</v>
      </c>
      <c r="AE228" s="239" t="b">
        <f t="shared" si="68"/>
        <v>0</v>
      </c>
      <c r="AF228" s="239">
        <f t="shared" si="76"/>
        <v>81</v>
      </c>
      <c r="AG228" s="239">
        <f t="shared" si="64"/>
        <v>27.222222222222221</v>
      </c>
      <c r="AH228" s="239">
        <f t="shared" si="65"/>
        <v>100</v>
      </c>
      <c r="AI228" s="238">
        <f t="shared" si="69"/>
        <v>85.628388219831862</v>
      </c>
      <c r="AJ228" s="238">
        <f t="shared" si="70"/>
        <v>82</v>
      </c>
      <c r="AK228" s="238">
        <f t="shared" si="71"/>
        <v>82</v>
      </c>
      <c r="AL228" s="238"/>
      <c r="AM228" s="240">
        <f t="shared" si="72"/>
        <v>3.0459023589619688E-2</v>
      </c>
      <c r="AN228" s="238">
        <f t="shared" si="73"/>
        <v>31.138691823638794</v>
      </c>
      <c r="AO228" s="240">
        <f t="shared" si="74"/>
        <v>3.5571174727034346E-2</v>
      </c>
      <c r="AP228" s="238">
        <f t="shared" si="75"/>
        <v>36.033599998485791</v>
      </c>
    </row>
    <row r="229" spans="1:42" ht="22.2" x14ac:dyDescent="0.7">
      <c r="A229" s="118"/>
      <c r="B229" s="118"/>
      <c r="C229" s="118"/>
      <c r="D229" s="118"/>
      <c r="R229" s="220">
        <v>7</v>
      </c>
      <c r="S229" s="220">
        <v>30</v>
      </c>
      <c r="T229" s="220">
        <v>11</v>
      </c>
      <c r="U229" s="220">
        <f t="shared" si="58"/>
        <v>28.333333333333332</v>
      </c>
      <c r="V229" s="237">
        <f t="shared" si="66"/>
        <v>35641.416666666119</v>
      </c>
      <c r="W229" s="234">
        <v>83</v>
      </c>
      <c r="X229" s="234">
        <f t="shared" si="59"/>
        <v>28.333333333333332</v>
      </c>
      <c r="Y229" s="234">
        <v>77</v>
      </c>
      <c r="Z229" s="238">
        <f t="shared" si="60"/>
        <v>77.159244496718884</v>
      </c>
      <c r="AA229" s="238">
        <f t="shared" si="61"/>
        <v>25.088469164843847</v>
      </c>
      <c r="AB229" s="239">
        <f t="shared" si="62"/>
        <v>78.619433372539163</v>
      </c>
      <c r="AC229" s="239">
        <f t="shared" si="63"/>
        <v>25.899685206966222</v>
      </c>
      <c r="AD229" s="239">
        <f t="shared" si="67"/>
        <v>83</v>
      </c>
      <c r="AE229" s="239" t="b">
        <f t="shared" si="68"/>
        <v>0</v>
      </c>
      <c r="AF229" s="239">
        <f t="shared" si="76"/>
        <v>83</v>
      </c>
      <c r="AG229" s="239">
        <f t="shared" si="64"/>
        <v>28.333333333333332</v>
      </c>
      <c r="AH229" s="239">
        <f t="shared" si="65"/>
        <v>100</v>
      </c>
      <c r="AI229" s="238">
        <f t="shared" si="69"/>
        <v>81.68193147199861</v>
      </c>
      <c r="AJ229" s="238">
        <f t="shared" si="70"/>
        <v>77</v>
      </c>
      <c r="AK229" s="238">
        <f t="shared" si="71"/>
        <v>77</v>
      </c>
      <c r="AL229" s="238"/>
      <c r="AM229" s="240">
        <f t="shared" si="72"/>
        <v>3.0997726867666636E-2</v>
      </c>
      <c r="AN229" s="238">
        <f t="shared" si="73"/>
        <v>31.773697152506521</v>
      </c>
      <c r="AO229" s="240">
        <f t="shared" si="74"/>
        <v>3.7949306914091485E-2</v>
      </c>
      <c r="AP229" s="238">
        <f t="shared" si="75"/>
        <v>38.442647903974674</v>
      </c>
    </row>
    <row r="230" spans="1:42" ht="22.2" x14ac:dyDescent="0.7">
      <c r="A230" s="118"/>
      <c r="B230" s="118"/>
      <c r="C230" s="118"/>
      <c r="D230" s="118"/>
      <c r="R230" s="220">
        <v>7</v>
      </c>
      <c r="S230" s="220">
        <v>30</v>
      </c>
      <c r="T230" s="220">
        <v>12</v>
      </c>
      <c r="U230" s="220">
        <f t="shared" si="58"/>
        <v>28.888888888888889</v>
      </c>
      <c r="V230" s="237">
        <f t="shared" si="66"/>
        <v>35641.458333332783</v>
      </c>
      <c r="W230" s="234">
        <v>84</v>
      </c>
      <c r="X230" s="234">
        <f t="shared" si="59"/>
        <v>28.888888888888889</v>
      </c>
      <c r="Y230" s="234">
        <v>74</v>
      </c>
      <c r="Z230" s="238">
        <f t="shared" si="60"/>
        <v>77.301593526290034</v>
      </c>
      <c r="AA230" s="238">
        <f t="shared" si="61"/>
        <v>25.167551959050041</v>
      </c>
      <c r="AB230" s="239">
        <f t="shared" si="62"/>
        <v>78.976195144717522</v>
      </c>
      <c r="AC230" s="239">
        <f t="shared" si="63"/>
        <v>26.097886191509758</v>
      </c>
      <c r="AD230" s="239">
        <f t="shared" si="67"/>
        <v>84</v>
      </c>
      <c r="AE230" s="239" t="b">
        <f t="shared" si="68"/>
        <v>0</v>
      </c>
      <c r="AF230" s="239">
        <f t="shared" si="76"/>
        <v>84</v>
      </c>
      <c r="AG230" s="239">
        <f t="shared" si="64"/>
        <v>28.888888888888889</v>
      </c>
      <c r="AH230" s="239">
        <f t="shared" si="65"/>
        <v>100</v>
      </c>
      <c r="AI230" s="238">
        <f t="shared" si="69"/>
        <v>79.335860452512392</v>
      </c>
      <c r="AJ230" s="238">
        <f t="shared" si="70"/>
        <v>74</v>
      </c>
      <c r="AK230" s="238">
        <f t="shared" si="71"/>
        <v>74</v>
      </c>
      <c r="AL230" s="238"/>
      <c r="AM230" s="240">
        <f t="shared" si="72"/>
        <v>3.1091261929862196E-2</v>
      </c>
      <c r="AN230" s="238">
        <f t="shared" si="73"/>
        <v>31.923366709357524</v>
      </c>
      <c r="AO230" s="240">
        <f t="shared" si="74"/>
        <v>3.9189417941048625E-2</v>
      </c>
      <c r="AP230" s="238">
        <f t="shared" si="75"/>
        <v>39.698880374282254</v>
      </c>
    </row>
    <row r="231" spans="1:42" ht="22.2" x14ac:dyDescent="0.7">
      <c r="A231" s="118"/>
      <c r="B231" s="118"/>
      <c r="C231" s="118"/>
      <c r="D231" s="118"/>
      <c r="R231" s="220">
        <v>7</v>
      </c>
      <c r="S231" s="220">
        <v>30</v>
      </c>
      <c r="T231" s="220">
        <v>13</v>
      </c>
      <c r="U231" s="220">
        <f t="shared" si="58"/>
        <v>29.444444444444443</v>
      </c>
      <c r="V231" s="237">
        <f t="shared" si="66"/>
        <v>35641.499999999447</v>
      </c>
      <c r="W231" s="234">
        <v>85</v>
      </c>
      <c r="X231" s="234">
        <f t="shared" si="59"/>
        <v>29.444444444444443</v>
      </c>
      <c r="Y231" s="234">
        <v>72</v>
      </c>
      <c r="Z231" s="238">
        <f t="shared" si="60"/>
        <v>77.694917290921055</v>
      </c>
      <c r="AA231" s="238">
        <f t="shared" si="61"/>
        <v>25.386065161622831</v>
      </c>
      <c r="AB231" s="239">
        <f t="shared" si="62"/>
        <v>79.521187968190787</v>
      </c>
      <c r="AC231" s="239">
        <f t="shared" si="63"/>
        <v>26.400659982328236</v>
      </c>
      <c r="AD231" s="239">
        <f t="shared" si="67"/>
        <v>85</v>
      </c>
      <c r="AE231" s="239" t="b">
        <f t="shared" si="68"/>
        <v>0</v>
      </c>
      <c r="AF231" s="239">
        <f t="shared" si="76"/>
        <v>85</v>
      </c>
      <c r="AG231" s="239">
        <f t="shared" si="64"/>
        <v>29.444444444444443</v>
      </c>
      <c r="AH231" s="239">
        <f t="shared" si="65"/>
        <v>100</v>
      </c>
      <c r="AI231" s="238">
        <f t="shared" si="69"/>
        <v>77.75621402335284</v>
      </c>
      <c r="AJ231" s="238">
        <f t="shared" si="70"/>
        <v>72</v>
      </c>
      <c r="AK231" s="238">
        <f t="shared" si="71"/>
        <v>72</v>
      </c>
      <c r="AL231" s="238"/>
      <c r="AM231" s="240">
        <f t="shared" si="72"/>
        <v>3.1463773062502379E-2</v>
      </c>
      <c r="AN231" s="238">
        <f t="shared" si="73"/>
        <v>32.3401182163906</v>
      </c>
      <c r="AO231" s="240">
        <f t="shared" si="74"/>
        <v>4.0464641260765002E-2</v>
      </c>
      <c r="AP231" s="238">
        <f t="shared" si="75"/>
        <v>40.990681597154946</v>
      </c>
    </row>
    <row r="232" spans="1:42" ht="22.2" x14ac:dyDescent="0.7">
      <c r="A232" s="118"/>
      <c r="B232" s="118"/>
      <c r="C232" s="118"/>
      <c r="D232" s="118"/>
      <c r="R232" s="220">
        <v>7</v>
      </c>
      <c r="S232" s="220">
        <v>30</v>
      </c>
      <c r="T232" s="220">
        <v>14</v>
      </c>
      <c r="U232" s="220">
        <f t="shared" si="58"/>
        <v>26.666666666666668</v>
      </c>
      <c r="V232" s="237">
        <f t="shared" si="66"/>
        <v>35641.541666666111</v>
      </c>
      <c r="W232" s="234">
        <v>80</v>
      </c>
      <c r="X232" s="234">
        <f t="shared" si="59"/>
        <v>26.666666666666668</v>
      </c>
      <c r="Y232" s="234">
        <v>91</v>
      </c>
      <c r="Z232" s="238">
        <f t="shared" si="60"/>
        <v>77.85640035269185</v>
      </c>
      <c r="AA232" s="238">
        <f t="shared" si="61"/>
        <v>25.475777973717715</v>
      </c>
      <c r="AB232" s="239">
        <f t="shared" si="62"/>
        <v>78.392300264518894</v>
      </c>
      <c r="AC232" s="239">
        <f t="shared" si="63"/>
        <v>25.773500146954962</v>
      </c>
      <c r="AD232" s="239">
        <f t="shared" si="67"/>
        <v>80</v>
      </c>
      <c r="AE232" s="239" t="b">
        <f t="shared" si="68"/>
        <v>0</v>
      </c>
      <c r="AF232" s="239">
        <f t="shared" si="76"/>
        <v>80</v>
      </c>
      <c r="AG232" s="239">
        <f t="shared" si="64"/>
        <v>26.666666666666668</v>
      </c>
      <c r="AH232" s="239">
        <f t="shared" si="65"/>
        <v>100</v>
      </c>
      <c r="AI232" s="238">
        <f t="shared" si="69"/>
        <v>92.821020950289849</v>
      </c>
      <c r="AJ232" s="238">
        <f t="shared" si="70"/>
        <v>91</v>
      </c>
      <c r="AK232" s="238">
        <f t="shared" si="71"/>
        <v>91</v>
      </c>
      <c r="AL232" s="238"/>
      <c r="AM232" s="240">
        <f t="shared" si="72"/>
        <v>3.1959732394710963E-2</v>
      </c>
      <c r="AN232" s="238">
        <f t="shared" si="73"/>
        <v>32.512588361679086</v>
      </c>
      <c r="AO232" s="240">
        <f t="shared" si="74"/>
        <v>3.4431567405218425E-2</v>
      </c>
      <c r="AP232" s="238">
        <f t="shared" si="75"/>
        <v>34.879177781486263</v>
      </c>
    </row>
    <row r="233" spans="1:42" ht="22.2" x14ac:dyDescent="0.7">
      <c r="A233" s="118"/>
      <c r="B233" s="118"/>
      <c r="C233" s="118"/>
      <c r="D233" s="118"/>
      <c r="R233" s="220">
        <v>7</v>
      </c>
      <c r="S233" s="220">
        <v>30</v>
      </c>
      <c r="T233" s="220">
        <v>15</v>
      </c>
      <c r="U233" s="220">
        <f t="shared" si="58"/>
        <v>27.777777777777779</v>
      </c>
      <c r="V233" s="237">
        <f t="shared" si="66"/>
        <v>35641.583333332776</v>
      </c>
      <c r="W233" s="234">
        <v>82</v>
      </c>
      <c r="X233" s="234">
        <f t="shared" si="59"/>
        <v>27.777777777777779</v>
      </c>
      <c r="Y233" s="234">
        <v>82</v>
      </c>
      <c r="Z233" s="238">
        <f t="shared" si="60"/>
        <v>77.514003918765923</v>
      </c>
      <c r="AA233" s="238">
        <f t="shared" si="61"/>
        <v>25.285557732647757</v>
      </c>
      <c r="AB233" s="239">
        <f t="shared" si="62"/>
        <v>78.635502939074442</v>
      </c>
      <c r="AC233" s="239">
        <f t="shared" si="63"/>
        <v>25.908612743930266</v>
      </c>
      <c r="AD233" s="239">
        <f t="shared" si="67"/>
        <v>82</v>
      </c>
      <c r="AE233" s="239" t="b">
        <f t="shared" si="68"/>
        <v>0</v>
      </c>
      <c r="AF233" s="239">
        <f t="shared" si="76"/>
        <v>82</v>
      </c>
      <c r="AG233" s="239">
        <f t="shared" si="64"/>
        <v>27.777777777777779</v>
      </c>
      <c r="AH233" s="239">
        <f t="shared" si="65"/>
        <v>100</v>
      </c>
      <c r="AI233" s="238">
        <f t="shared" si="69"/>
        <v>85.598843261179923</v>
      </c>
      <c r="AJ233" s="238">
        <f t="shared" si="70"/>
        <v>82</v>
      </c>
      <c r="AK233" s="238">
        <f t="shared" si="71"/>
        <v>82</v>
      </c>
      <c r="AL233" s="238"/>
      <c r="AM233" s="240">
        <f t="shared" si="72"/>
        <v>3.1452004702370737E-2</v>
      </c>
      <c r="AN233" s="238">
        <f t="shared" si="73"/>
        <v>32.147843614261717</v>
      </c>
      <c r="AO233" s="240">
        <f t="shared" si="74"/>
        <v>3.6743492673614889E-2</v>
      </c>
      <c r="AP233" s="238">
        <f t="shared" si="75"/>
        <v>37.221158078371879</v>
      </c>
    </row>
    <row r="234" spans="1:42" ht="22.2" x14ac:dyDescent="0.7">
      <c r="A234" s="118"/>
      <c r="B234" s="118"/>
      <c r="C234" s="118"/>
      <c r="D234" s="118"/>
      <c r="R234" s="220">
        <v>7</v>
      </c>
      <c r="S234" s="220">
        <v>30</v>
      </c>
      <c r="T234" s="220">
        <v>16</v>
      </c>
      <c r="U234" s="220">
        <f t="shared" si="58"/>
        <v>29.444444444444443</v>
      </c>
      <c r="V234" s="237">
        <f t="shared" si="66"/>
        <v>35641.62499999944</v>
      </c>
      <c r="W234" s="234">
        <v>85</v>
      </c>
      <c r="X234" s="234">
        <f t="shared" si="59"/>
        <v>29.444444444444443</v>
      </c>
      <c r="Y234" s="234">
        <v>70</v>
      </c>
      <c r="Z234" s="238">
        <f t="shared" si="60"/>
        <v>77.140648190442647</v>
      </c>
      <c r="AA234" s="238">
        <f t="shared" si="61"/>
        <v>25.07813788357927</v>
      </c>
      <c r="AB234" s="239">
        <f t="shared" si="62"/>
        <v>79.105486142831978</v>
      </c>
      <c r="AC234" s="239">
        <f t="shared" si="63"/>
        <v>26.169714523795566</v>
      </c>
      <c r="AD234" s="239">
        <f t="shared" si="67"/>
        <v>85</v>
      </c>
      <c r="AE234" s="239" t="b">
        <f t="shared" si="68"/>
        <v>0</v>
      </c>
      <c r="AF234" s="239">
        <f t="shared" si="76"/>
        <v>85</v>
      </c>
      <c r="AG234" s="239">
        <f t="shared" si="64"/>
        <v>29.444444444444443</v>
      </c>
      <c r="AH234" s="239">
        <f t="shared" si="65"/>
        <v>100</v>
      </c>
      <c r="AI234" s="238">
        <f t="shared" si="69"/>
        <v>76.24305999989609</v>
      </c>
      <c r="AJ234" s="238">
        <f t="shared" si="70"/>
        <v>70</v>
      </c>
      <c r="AK234" s="238">
        <f t="shared" si="71"/>
        <v>70</v>
      </c>
      <c r="AL234" s="238"/>
      <c r="AM234" s="240">
        <f t="shared" si="72"/>
        <v>3.0851480715187771E-2</v>
      </c>
      <c r="AN234" s="238">
        <f t="shared" si="73"/>
        <v>31.754189761734953</v>
      </c>
      <c r="AO234" s="240">
        <f t="shared" si="74"/>
        <v>4.0464641260765002E-2</v>
      </c>
      <c r="AP234" s="238">
        <f t="shared" si="75"/>
        <v>40.990681597154946</v>
      </c>
    </row>
    <row r="235" spans="1:42" ht="22.2" x14ac:dyDescent="0.7">
      <c r="A235" s="118"/>
      <c r="B235" s="118"/>
      <c r="C235" s="118"/>
      <c r="D235" s="118"/>
      <c r="R235" s="220">
        <v>7</v>
      </c>
      <c r="S235" s="220">
        <v>30</v>
      </c>
      <c r="T235" s="220">
        <v>17</v>
      </c>
      <c r="U235" s="220">
        <f t="shared" si="58"/>
        <v>29.444444444444443</v>
      </c>
      <c r="V235" s="237">
        <f t="shared" si="66"/>
        <v>35641.666666666104</v>
      </c>
      <c r="W235" s="234">
        <v>85</v>
      </c>
      <c r="X235" s="234">
        <f t="shared" si="59"/>
        <v>29.444444444444443</v>
      </c>
      <c r="Y235" s="234">
        <v>70</v>
      </c>
      <c r="Z235" s="238">
        <f t="shared" si="60"/>
        <v>77.140648190442647</v>
      </c>
      <c r="AA235" s="238">
        <f t="shared" si="61"/>
        <v>25.07813788357927</v>
      </c>
      <c r="AB235" s="239">
        <f t="shared" si="62"/>
        <v>79.105486142831978</v>
      </c>
      <c r="AC235" s="239">
        <f t="shared" si="63"/>
        <v>26.169714523795566</v>
      </c>
      <c r="AD235" s="239">
        <f t="shared" si="67"/>
        <v>85</v>
      </c>
      <c r="AE235" s="239" t="b">
        <f t="shared" si="68"/>
        <v>0</v>
      </c>
      <c r="AF235" s="239">
        <f t="shared" si="76"/>
        <v>85</v>
      </c>
      <c r="AG235" s="239">
        <f t="shared" si="64"/>
        <v>29.444444444444443</v>
      </c>
      <c r="AH235" s="239">
        <f t="shared" si="65"/>
        <v>100</v>
      </c>
      <c r="AI235" s="238">
        <f t="shared" si="69"/>
        <v>76.24305999989609</v>
      </c>
      <c r="AJ235" s="238">
        <f t="shared" si="70"/>
        <v>70</v>
      </c>
      <c r="AK235" s="238">
        <f t="shared" si="71"/>
        <v>70</v>
      </c>
      <c r="AL235" s="238"/>
      <c r="AM235" s="240">
        <f t="shared" si="72"/>
        <v>3.0851480715187771E-2</v>
      </c>
      <c r="AN235" s="238">
        <f t="shared" si="73"/>
        <v>31.754189761734953</v>
      </c>
      <c r="AO235" s="240">
        <f t="shared" si="74"/>
        <v>4.0464641260765002E-2</v>
      </c>
      <c r="AP235" s="238">
        <f t="shared" si="75"/>
        <v>40.990681597154946</v>
      </c>
    </row>
    <row r="236" spans="1:42" ht="22.2" x14ac:dyDescent="0.7">
      <c r="A236" s="118"/>
      <c r="B236" s="118"/>
      <c r="C236" s="118"/>
      <c r="D236" s="118"/>
      <c r="R236" s="220">
        <v>7</v>
      </c>
      <c r="S236" s="220">
        <v>30</v>
      </c>
      <c r="T236" s="220">
        <v>18</v>
      </c>
      <c r="U236" s="220">
        <f t="shared" si="58"/>
        <v>29.444444444444443</v>
      </c>
      <c r="V236" s="237">
        <f t="shared" si="66"/>
        <v>35641.708333332768</v>
      </c>
      <c r="W236" s="234">
        <v>85</v>
      </c>
      <c r="X236" s="234">
        <f t="shared" si="59"/>
        <v>29.444444444444443</v>
      </c>
      <c r="Y236" s="234">
        <v>70</v>
      </c>
      <c r="Z236" s="238">
        <f t="shared" si="60"/>
        <v>77.140648190442647</v>
      </c>
      <c r="AA236" s="238">
        <f t="shared" si="61"/>
        <v>25.07813788357927</v>
      </c>
      <c r="AB236" s="239">
        <f t="shared" si="62"/>
        <v>79.105486142831978</v>
      </c>
      <c r="AC236" s="239">
        <f t="shared" si="63"/>
        <v>26.169714523795566</v>
      </c>
      <c r="AD236" s="239">
        <f t="shared" si="67"/>
        <v>85</v>
      </c>
      <c r="AE236" s="239" t="b">
        <f t="shared" si="68"/>
        <v>0</v>
      </c>
      <c r="AF236" s="239">
        <f t="shared" si="76"/>
        <v>85</v>
      </c>
      <c r="AG236" s="239">
        <f t="shared" si="64"/>
        <v>29.444444444444443</v>
      </c>
      <c r="AH236" s="239">
        <f t="shared" si="65"/>
        <v>100</v>
      </c>
      <c r="AI236" s="238">
        <f t="shared" si="69"/>
        <v>76.24305999989609</v>
      </c>
      <c r="AJ236" s="238">
        <f t="shared" si="70"/>
        <v>70</v>
      </c>
      <c r="AK236" s="238">
        <f t="shared" si="71"/>
        <v>70</v>
      </c>
      <c r="AL236" s="238"/>
      <c r="AM236" s="240">
        <f t="shared" si="72"/>
        <v>3.0851480715187771E-2</v>
      </c>
      <c r="AN236" s="238">
        <f t="shared" si="73"/>
        <v>31.754189761734953</v>
      </c>
      <c r="AO236" s="240">
        <f t="shared" si="74"/>
        <v>4.0464641260765002E-2</v>
      </c>
      <c r="AP236" s="238">
        <f t="shared" si="75"/>
        <v>40.990681597154946</v>
      </c>
    </row>
    <row r="237" spans="1:42" ht="22.2" x14ac:dyDescent="0.7">
      <c r="A237" s="118"/>
      <c r="B237" s="118"/>
      <c r="C237" s="118"/>
      <c r="D237" s="118"/>
      <c r="R237" s="220">
        <v>7</v>
      </c>
      <c r="S237" s="220">
        <v>30</v>
      </c>
      <c r="T237" s="220">
        <v>19</v>
      </c>
      <c r="U237" s="220">
        <f t="shared" si="58"/>
        <v>28.333333333333332</v>
      </c>
      <c r="V237" s="237">
        <f t="shared" si="66"/>
        <v>35641.749999999432</v>
      </c>
      <c r="W237" s="234">
        <v>83</v>
      </c>
      <c r="X237" s="234">
        <f t="shared" si="59"/>
        <v>28.333333333333332</v>
      </c>
      <c r="Y237" s="234">
        <v>72</v>
      </c>
      <c r="Z237" s="238">
        <f t="shared" si="60"/>
        <v>75.819781192613931</v>
      </c>
      <c r="AA237" s="238">
        <f t="shared" si="61"/>
        <v>24.344322884785537</v>
      </c>
      <c r="AB237" s="239">
        <f t="shared" si="62"/>
        <v>77.614835894460441</v>
      </c>
      <c r="AC237" s="239">
        <f t="shared" si="63"/>
        <v>25.341575496922488</v>
      </c>
      <c r="AD237" s="239">
        <f t="shared" si="67"/>
        <v>83</v>
      </c>
      <c r="AE237" s="239" t="b">
        <f t="shared" si="68"/>
        <v>0</v>
      </c>
      <c r="AF237" s="239">
        <f t="shared" si="76"/>
        <v>83</v>
      </c>
      <c r="AG237" s="239">
        <f t="shared" si="64"/>
        <v>28.333333333333332</v>
      </c>
      <c r="AH237" s="239">
        <f t="shared" si="65"/>
        <v>100</v>
      </c>
      <c r="AI237" s="238">
        <f t="shared" si="69"/>
        <v>77.879513374236453</v>
      </c>
      <c r="AJ237" s="238">
        <f t="shared" si="70"/>
        <v>72</v>
      </c>
      <c r="AK237" s="238">
        <f t="shared" si="71"/>
        <v>72</v>
      </c>
      <c r="AL237" s="238"/>
      <c r="AM237" s="240">
        <f t="shared" si="72"/>
        <v>2.9554735553589916E-2</v>
      </c>
      <c r="AN237" s="238">
        <f t="shared" si="73"/>
        <v>30.395046355137282</v>
      </c>
      <c r="AO237" s="240">
        <f t="shared" si="74"/>
        <v>3.7949306914091485E-2</v>
      </c>
      <c r="AP237" s="238">
        <f t="shared" si="75"/>
        <v>38.442647903974674</v>
      </c>
    </row>
    <row r="238" spans="1:42" ht="22.2" x14ac:dyDescent="0.7">
      <c r="A238" s="118"/>
      <c r="B238" s="118"/>
      <c r="C238" s="118"/>
      <c r="D238" s="118"/>
      <c r="R238" s="220">
        <v>7</v>
      </c>
      <c r="S238" s="220">
        <v>30</v>
      </c>
      <c r="T238" s="220">
        <v>20</v>
      </c>
      <c r="U238" s="220">
        <f t="shared" si="58"/>
        <v>26.666666666666668</v>
      </c>
      <c r="V238" s="237">
        <f t="shared" si="66"/>
        <v>35641.791666666097</v>
      </c>
      <c r="W238" s="234">
        <v>80</v>
      </c>
      <c r="X238" s="234">
        <f t="shared" si="59"/>
        <v>26.666666666666668</v>
      </c>
      <c r="Y238" s="234">
        <v>79</v>
      </c>
      <c r="Z238" s="238">
        <f t="shared" si="60"/>
        <v>74.817277070195615</v>
      </c>
      <c r="AA238" s="238">
        <f t="shared" si="61"/>
        <v>23.787376150108695</v>
      </c>
      <c r="AB238" s="239">
        <f t="shared" si="62"/>
        <v>76.112957802646719</v>
      </c>
      <c r="AC238" s="239">
        <f t="shared" si="63"/>
        <v>24.507198779248199</v>
      </c>
      <c r="AD238" s="239">
        <f t="shared" si="67"/>
        <v>80</v>
      </c>
      <c r="AE238" s="239" t="b">
        <f t="shared" si="68"/>
        <v>0</v>
      </c>
      <c r="AF238" s="239">
        <f t="shared" si="76"/>
        <v>80</v>
      </c>
      <c r="AG238" s="239">
        <f t="shared" si="64"/>
        <v>26.666666666666668</v>
      </c>
      <c r="AH238" s="239">
        <f t="shared" si="65"/>
        <v>100</v>
      </c>
      <c r="AI238" s="238">
        <f t="shared" si="69"/>
        <v>83.343343633009709</v>
      </c>
      <c r="AJ238" s="238">
        <f t="shared" si="70"/>
        <v>79</v>
      </c>
      <c r="AK238" s="238">
        <f t="shared" si="71"/>
        <v>79</v>
      </c>
      <c r="AL238" s="238"/>
      <c r="AM238" s="240">
        <f t="shared" si="72"/>
        <v>2.8696419540762554E-2</v>
      </c>
      <c r="AN238" s="238">
        <f t="shared" si="73"/>
        <v>29.397640077849754</v>
      </c>
      <c r="AO238" s="240">
        <f t="shared" si="74"/>
        <v>3.4431567405218425E-2</v>
      </c>
      <c r="AP238" s="238">
        <f t="shared" si="75"/>
        <v>34.879177781486263</v>
      </c>
    </row>
    <row r="239" spans="1:42" ht="22.2" x14ac:dyDescent="0.7">
      <c r="A239" s="118"/>
      <c r="B239" s="118"/>
      <c r="C239" s="118"/>
      <c r="D239" s="118"/>
      <c r="R239" s="220">
        <v>7</v>
      </c>
      <c r="S239" s="220">
        <v>30</v>
      </c>
      <c r="T239" s="220">
        <v>21</v>
      </c>
      <c r="U239" s="220">
        <f t="shared" si="58"/>
        <v>27.777777777777779</v>
      </c>
      <c r="V239" s="237">
        <f t="shared" si="66"/>
        <v>35641.833333332761</v>
      </c>
      <c r="W239" s="234">
        <v>82</v>
      </c>
      <c r="X239" s="234">
        <f t="shared" si="59"/>
        <v>27.777777777777779</v>
      </c>
      <c r="Y239" s="234">
        <v>74</v>
      </c>
      <c r="Z239" s="238">
        <f t="shared" si="60"/>
        <v>75.414750570934558</v>
      </c>
      <c r="AA239" s="238">
        <f t="shared" si="61"/>
        <v>24.119305872741442</v>
      </c>
      <c r="AB239" s="239">
        <f t="shared" si="62"/>
        <v>77.061062928200926</v>
      </c>
      <c r="AC239" s="239">
        <f t="shared" si="63"/>
        <v>25.033923849000537</v>
      </c>
      <c r="AD239" s="239">
        <f t="shared" si="67"/>
        <v>82</v>
      </c>
      <c r="AE239" s="239" t="b">
        <f t="shared" si="68"/>
        <v>0</v>
      </c>
      <c r="AF239" s="239">
        <f t="shared" si="76"/>
        <v>82</v>
      </c>
      <c r="AG239" s="239">
        <f t="shared" si="64"/>
        <v>27.777777777777779</v>
      </c>
      <c r="AH239" s="239">
        <f t="shared" si="65"/>
        <v>100</v>
      </c>
      <c r="AI239" s="238">
        <f t="shared" si="69"/>
        <v>79.446305745561403</v>
      </c>
      <c r="AJ239" s="238">
        <f t="shared" si="70"/>
        <v>74</v>
      </c>
      <c r="AK239" s="238">
        <f t="shared" si="71"/>
        <v>74</v>
      </c>
      <c r="AL239" s="238"/>
      <c r="AM239" s="240">
        <f t="shared" si="72"/>
        <v>2.9191347531078042E-2</v>
      </c>
      <c r="AN239" s="238">
        <f t="shared" si="73"/>
        <v>29.988577120363978</v>
      </c>
      <c r="AO239" s="240">
        <f t="shared" si="74"/>
        <v>3.6743492673614889E-2</v>
      </c>
      <c r="AP239" s="238">
        <f t="shared" si="75"/>
        <v>37.221158078371879</v>
      </c>
    </row>
    <row r="240" spans="1:42" ht="22.2" x14ac:dyDescent="0.7">
      <c r="A240" s="118"/>
      <c r="B240" s="118"/>
      <c r="C240" s="118"/>
      <c r="D240" s="118"/>
      <c r="R240" s="220">
        <v>7</v>
      </c>
      <c r="S240" s="220">
        <v>30</v>
      </c>
      <c r="T240" s="220">
        <v>22</v>
      </c>
      <c r="U240" s="220">
        <f t="shared" si="58"/>
        <v>27.222222222222221</v>
      </c>
      <c r="V240" s="237">
        <f t="shared" si="66"/>
        <v>35641.874999999425</v>
      </c>
      <c r="W240" s="234">
        <v>81</v>
      </c>
      <c r="X240" s="234">
        <f t="shared" si="59"/>
        <v>27.222222222222221</v>
      </c>
      <c r="Y240" s="234">
        <v>77</v>
      </c>
      <c r="Z240" s="238">
        <f t="shared" si="60"/>
        <v>75.255445050401576</v>
      </c>
      <c r="AA240" s="238">
        <f t="shared" si="61"/>
        <v>24.030802805778674</v>
      </c>
      <c r="AB240" s="239">
        <f t="shared" si="62"/>
        <v>76.691583787801179</v>
      </c>
      <c r="AC240" s="239">
        <f t="shared" si="63"/>
        <v>24.828657659889565</v>
      </c>
      <c r="AD240" s="239">
        <f t="shared" si="67"/>
        <v>81</v>
      </c>
      <c r="AE240" s="239" t="b">
        <f t="shared" si="68"/>
        <v>0</v>
      </c>
      <c r="AF240" s="239">
        <f t="shared" si="76"/>
        <v>81</v>
      </c>
      <c r="AG240" s="239">
        <f t="shared" si="64"/>
        <v>27.222222222222221</v>
      </c>
      <c r="AH240" s="239">
        <f t="shared" si="65"/>
        <v>100</v>
      </c>
      <c r="AI240" s="238">
        <f t="shared" si="69"/>
        <v>81.772952657182273</v>
      </c>
      <c r="AJ240" s="238">
        <f t="shared" si="70"/>
        <v>77</v>
      </c>
      <c r="AK240" s="238">
        <f t="shared" si="71"/>
        <v>77</v>
      </c>
      <c r="AL240" s="238"/>
      <c r="AM240" s="240">
        <f t="shared" si="72"/>
        <v>2.9087599869141383E-2</v>
      </c>
      <c r="AN240" s="238">
        <f t="shared" si="73"/>
        <v>29.830010018528988</v>
      </c>
      <c r="AO240" s="240">
        <f t="shared" si="74"/>
        <v>3.5571174727034346E-2</v>
      </c>
      <c r="AP240" s="238">
        <f t="shared" si="75"/>
        <v>36.033599998485791</v>
      </c>
    </row>
    <row r="241" spans="1:42" ht="22.2" x14ac:dyDescent="0.7">
      <c r="A241" s="118"/>
      <c r="B241" s="118"/>
      <c r="C241" s="118"/>
      <c r="D241" s="118"/>
      <c r="R241" s="220">
        <v>7</v>
      </c>
      <c r="S241" s="220">
        <v>30</v>
      </c>
      <c r="T241" s="220">
        <v>23</v>
      </c>
      <c r="U241" s="220">
        <f t="shared" si="58"/>
        <v>27.222222222222221</v>
      </c>
      <c r="V241" s="237">
        <f t="shared" si="66"/>
        <v>35641.916666666089</v>
      </c>
      <c r="W241" s="234">
        <v>81</v>
      </c>
      <c r="X241" s="234">
        <f t="shared" si="59"/>
        <v>27.222222222222221</v>
      </c>
      <c r="Y241" s="234">
        <v>77</v>
      </c>
      <c r="Z241" s="238">
        <f t="shared" si="60"/>
        <v>75.255445050401576</v>
      </c>
      <c r="AA241" s="238">
        <f t="shared" si="61"/>
        <v>24.030802805778674</v>
      </c>
      <c r="AB241" s="239">
        <f t="shared" si="62"/>
        <v>76.691583787801179</v>
      </c>
      <c r="AC241" s="239">
        <f t="shared" si="63"/>
        <v>24.828657659889565</v>
      </c>
      <c r="AD241" s="239">
        <f t="shared" si="67"/>
        <v>81</v>
      </c>
      <c r="AE241" s="239" t="b">
        <f t="shared" si="68"/>
        <v>0</v>
      </c>
      <c r="AF241" s="239">
        <f t="shared" si="76"/>
        <v>81</v>
      </c>
      <c r="AG241" s="239">
        <f t="shared" si="64"/>
        <v>27.222222222222221</v>
      </c>
      <c r="AH241" s="239">
        <f t="shared" si="65"/>
        <v>100</v>
      </c>
      <c r="AI241" s="238">
        <f t="shared" si="69"/>
        <v>81.772952657182273</v>
      </c>
      <c r="AJ241" s="238">
        <f t="shared" si="70"/>
        <v>77</v>
      </c>
      <c r="AK241" s="238">
        <f t="shared" si="71"/>
        <v>77</v>
      </c>
      <c r="AL241" s="238"/>
      <c r="AM241" s="240">
        <f t="shared" si="72"/>
        <v>2.9087599869141383E-2</v>
      </c>
      <c r="AN241" s="238">
        <f t="shared" si="73"/>
        <v>29.830010018528988</v>
      </c>
      <c r="AO241" s="240">
        <f t="shared" si="74"/>
        <v>3.5571174727034346E-2</v>
      </c>
      <c r="AP241" s="238">
        <f t="shared" si="75"/>
        <v>36.033599998485791</v>
      </c>
    </row>
    <row r="242" spans="1:42" ht="22.2" x14ac:dyDescent="0.7">
      <c r="A242" s="118"/>
      <c r="B242" s="118"/>
      <c r="C242" s="118"/>
      <c r="D242" s="118"/>
      <c r="R242" s="220">
        <v>7</v>
      </c>
      <c r="S242" s="220">
        <v>30</v>
      </c>
      <c r="T242" s="220">
        <v>24</v>
      </c>
      <c r="U242" s="220">
        <f t="shared" si="58"/>
        <v>26.666666666666668</v>
      </c>
      <c r="V242" s="237">
        <f t="shared" si="66"/>
        <v>35641.958333332754</v>
      </c>
      <c r="W242" s="234">
        <v>80</v>
      </c>
      <c r="X242" s="234">
        <f t="shared" si="59"/>
        <v>26.666666666666668</v>
      </c>
      <c r="Y242" s="234">
        <v>77</v>
      </c>
      <c r="Z242" s="238">
        <f t="shared" si="60"/>
        <v>74.303543863031564</v>
      </c>
      <c r="AA242" s="238">
        <f t="shared" si="61"/>
        <v>23.501968812795333</v>
      </c>
      <c r="AB242" s="239">
        <f t="shared" si="62"/>
        <v>75.727657897273673</v>
      </c>
      <c r="AC242" s="239">
        <f t="shared" si="63"/>
        <v>24.293143276263173</v>
      </c>
      <c r="AD242" s="239">
        <f t="shared" si="67"/>
        <v>80</v>
      </c>
      <c r="AE242" s="239" t="b">
        <f t="shared" si="68"/>
        <v>0</v>
      </c>
      <c r="AF242" s="239">
        <f t="shared" si="76"/>
        <v>80</v>
      </c>
      <c r="AG242" s="239">
        <f t="shared" si="64"/>
        <v>26.666666666666668</v>
      </c>
      <c r="AH242" s="239">
        <f t="shared" si="65"/>
        <v>100</v>
      </c>
      <c r="AI242" s="238">
        <f t="shared" si="69"/>
        <v>81.818689103065267</v>
      </c>
      <c r="AJ242" s="238">
        <f t="shared" si="70"/>
        <v>77</v>
      </c>
      <c r="AK242" s="238">
        <f t="shared" si="71"/>
        <v>77</v>
      </c>
      <c r="AL242" s="238"/>
      <c r="AM242" s="240">
        <f t="shared" si="72"/>
        <v>2.8171457088588019E-2</v>
      </c>
      <c r="AN242" s="238">
        <f t="shared" si="73"/>
        <v>28.897677928953676</v>
      </c>
      <c r="AO242" s="240">
        <f t="shared" si="74"/>
        <v>3.4431567405218425E-2</v>
      </c>
      <c r="AP242" s="238">
        <f t="shared" si="75"/>
        <v>34.879177781486263</v>
      </c>
    </row>
    <row r="243" spans="1:42" ht="22.2" x14ac:dyDescent="0.7">
      <c r="A243" s="118"/>
      <c r="B243" s="118"/>
      <c r="C243" s="118"/>
      <c r="D243" s="118"/>
      <c r="R243" s="220">
        <v>7</v>
      </c>
      <c r="S243" s="220">
        <v>31</v>
      </c>
      <c r="T243" s="220">
        <v>1</v>
      </c>
      <c r="U243" s="220">
        <f t="shared" si="58"/>
        <v>26.111111111111111</v>
      </c>
      <c r="V243" s="237">
        <f t="shared" si="66"/>
        <v>35641.999999999418</v>
      </c>
      <c r="W243" s="234">
        <v>79</v>
      </c>
      <c r="X243" s="234">
        <f t="shared" si="59"/>
        <v>26.111111111111111</v>
      </c>
      <c r="Y243" s="234">
        <v>77</v>
      </c>
      <c r="Z243" s="238">
        <f t="shared" si="60"/>
        <v>73.351641678485734</v>
      </c>
      <c r="AA243" s="238">
        <f t="shared" si="61"/>
        <v>22.973134265825426</v>
      </c>
      <c r="AB243" s="239">
        <f t="shared" si="62"/>
        <v>74.763731258864297</v>
      </c>
      <c r="AC243" s="239">
        <f t="shared" si="63"/>
        <v>23.757628477146852</v>
      </c>
      <c r="AD243" s="239">
        <f t="shared" si="67"/>
        <v>79</v>
      </c>
      <c r="AE243" s="239" t="b">
        <f t="shared" si="68"/>
        <v>0</v>
      </c>
      <c r="AF243" s="239">
        <f t="shared" si="76"/>
        <v>79</v>
      </c>
      <c r="AG243" s="239">
        <f t="shared" si="64"/>
        <v>26.111111111111111</v>
      </c>
      <c r="AH243" s="239">
        <f t="shared" si="65"/>
        <v>100</v>
      </c>
      <c r="AI243" s="238">
        <f t="shared" si="69"/>
        <v>81.864564834286242</v>
      </c>
      <c r="AJ243" s="238">
        <f t="shared" si="70"/>
        <v>77</v>
      </c>
      <c r="AK243" s="238">
        <f t="shared" si="71"/>
        <v>77</v>
      </c>
      <c r="AL243" s="238"/>
      <c r="AM243" s="240">
        <f t="shared" si="72"/>
        <v>2.7280465453213037E-2</v>
      </c>
      <c r="AN243" s="238">
        <f t="shared" si="73"/>
        <v>27.990878240935405</v>
      </c>
      <c r="AO243" s="240">
        <f t="shared" si="74"/>
        <v>3.3323899673119044E-2</v>
      </c>
      <c r="AP243" s="238">
        <f t="shared" si="75"/>
        <v>33.75711036886959</v>
      </c>
    </row>
    <row r="244" spans="1:42" ht="22.2" x14ac:dyDescent="0.7">
      <c r="A244" s="118"/>
      <c r="B244" s="118"/>
      <c r="C244" s="118"/>
      <c r="D244" s="118"/>
      <c r="R244" s="220">
        <v>7</v>
      </c>
      <c r="S244" s="220">
        <v>31</v>
      </c>
      <c r="T244" s="220">
        <v>2</v>
      </c>
      <c r="U244" s="220">
        <f t="shared" si="58"/>
        <v>26.111111111111111</v>
      </c>
      <c r="V244" s="237">
        <f t="shared" si="66"/>
        <v>35642.041666666082</v>
      </c>
      <c r="W244" s="234">
        <v>79</v>
      </c>
      <c r="X244" s="234">
        <f t="shared" si="59"/>
        <v>26.111111111111111</v>
      </c>
      <c r="Y244" s="234">
        <v>74</v>
      </c>
      <c r="Z244" s="238">
        <f t="shared" si="60"/>
        <v>72.584478190395544</v>
      </c>
      <c r="AA244" s="238">
        <f t="shared" si="61"/>
        <v>22.546932327997542</v>
      </c>
      <c r="AB244" s="239">
        <f t="shared" si="62"/>
        <v>74.188358642796658</v>
      </c>
      <c r="AC244" s="239">
        <f t="shared" si="63"/>
        <v>23.43797702377594</v>
      </c>
      <c r="AD244" s="239">
        <f t="shared" si="67"/>
        <v>79</v>
      </c>
      <c r="AE244" s="239" t="b">
        <f t="shared" si="68"/>
        <v>0</v>
      </c>
      <c r="AF244" s="239">
        <f t="shared" si="76"/>
        <v>79</v>
      </c>
      <c r="AG244" s="239">
        <f t="shared" si="64"/>
        <v>26.111111111111111</v>
      </c>
      <c r="AH244" s="239">
        <f t="shared" si="65"/>
        <v>100</v>
      </c>
      <c r="AI244" s="238">
        <f t="shared" si="69"/>
        <v>79.613710266214611</v>
      </c>
      <c r="AJ244" s="238">
        <f t="shared" si="70"/>
        <v>74</v>
      </c>
      <c r="AK244" s="238">
        <f t="shared" si="71"/>
        <v>74</v>
      </c>
      <c r="AL244" s="238"/>
      <c r="AM244" s="240">
        <f t="shared" si="72"/>
        <v>2.6530392935161032E-2</v>
      </c>
      <c r="AN244" s="238">
        <f t="shared" si="73"/>
        <v>27.278241606139474</v>
      </c>
      <c r="AO244" s="240">
        <f t="shared" si="74"/>
        <v>3.3323899673119044E-2</v>
      </c>
      <c r="AP244" s="238">
        <f t="shared" si="75"/>
        <v>33.75711036886959</v>
      </c>
    </row>
    <row r="245" spans="1:42" ht="22.2" x14ac:dyDescent="0.7">
      <c r="A245" s="118"/>
      <c r="B245" s="118"/>
      <c r="C245" s="118"/>
      <c r="D245" s="118"/>
      <c r="R245" s="220">
        <v>7</v>
      </c>
      <c r="S245" s="220">
        <v>31</v>
      </c>
      <c r="T245" s="220">
        <v>3</v>
      </c>
      <c r="U245" s="220">
        <f t="shared" si="58"/>
        <v>25.555555555555557</v>
      </c>
      <c r="V245" s="237">
        <f t="shared" si="66"/>
        <v>35642.083333332746</v>
      </c>
      <c r="W245" s="234">
        <v>78</v>
      </c>
      <c r="X245" s="234">
        <f t="shared" si="59"/>
        <v>25.555555555555557</v>
      </c>
      <c r="Y245" s="234">
        <v>77</v>
      </c>
      <c r="Z245" s="238">
        <f t="shared" si="60"/>
        <v>72.399738480560671</v>
      </c>
      <c r="AA245" s="238">
        <f t="shared" si="61"/>
        <v>22.444299155867057</v>
      </c>
      <c r="AB245" s="239">
        <f t="shared" si="62"/>
        <v>73.799803860420496</v>
      </c>
      <c r="AC245" s="239">
        <f t="shared" si="63"/>
        <v>23.222113255789186</v>
      </c>
      <c r="AD245" s="239">
        <f t="shared" si="67"/>
        <v>78</v>
      </c>
      <c r="AE245" s="239" t="b">
        <f t="shared" si="68"/>
        <v>0</v>
      </c>
      <c r="AF245" s="239">
        <f t="shared" si="76"/>
        <v>78</v>
      </c>
      <c r="AG245" s="239">
        <f t="shared" si="64"/>
        <v>25.555555555555557</v>
      </c>
      <c r="AH245" s="239">
        <f t="shared" si="65"/>
        <v>100</v>
      </c>
      <c r="AI245" s="238">
        <f t="shared" si="69"/>
        <v>81.910570922349862</v>
      </c>
      <c r="AJ245" s="238">
        <f t="shared" si="70"/>
        <v>77</v>
      </c>
      <c r="AK245" s="238">
        <f t="shared" si="71"/>
        <v>77</v>
      </c>
      <c r="AL245" s="238"/>
      <c r="AM245" s="240">
        <f t="shared" si="72"/>
        <v>2.6414041686111063E-2</v>
      </c>
      <c r="AN245" s="238">
        <f t="shared" si="73"/>
        <v>27.109018470889911</v>
      </c>
      <c r="AO245" s="240">
        <f t="shared" si="74"/>
        <v>3.2247414941291554E-2</v>
      </c>
      <c r="AP245" s="238">
        <f t="shared" si="75"/>
        <v>32.666631335528344</v>
      </c>
    </row>
    <row r="246" spans="1:42" ht="22.2" x14ac:dyDescent="0.7">
      <c r="A246" s="118"/>
      <c r="B246" s="118"/>
      <c r="C246" s="118"/>
      <c r="D246" s="118"/>
      <c r="R246" s="220">
        <v>7</v>
      </c>
      <c r="S246" s="220">
        <v>31</v>
      </c>
      <c r="T246" s="220">
        <v>4</v>
      </c>
      <c r="U246" s="220">
        <f t="shared" si="58"/>
        <v>25</v>
      </c>
      <c r="V246" s="237">
        <f t="shared" si="66"/>
        <v>35642.124999999411</v>
      </c>
      <c r="W246" s="234">
        <v>77</v>
      </c>
      <c r="X246" s="234">
        <f t="shared" si="59"/>
        <v>25</v>
      </c>
      <c r="Y246" s="234">
        <v>79</v>
      </c>
      <c r="Z246" s="238">
        <f t="shared" si="60"/>
        <v>71.945183996710171</v>
      </c>
      <c r="AA246" s="238">
        <f t="shared" si="61"/>
        <v>22.191768887061226</v>
      </c>
      <c r="AB246" s="239">
        <f t="shared" si="62"/>
        <v>73.208887997532628</v>
      </c>
      <c r="AC246" s="239">
        <f t="shared" si="63"/>
        <v>22.893826665295922</v>
      </c>
      <c r="AD246" s="239">
        <f t="shared" si="67"/>
        <v>77</v>
      </c>
      <c r="AE246" s="239" t="b">
        <f t="shared" si="68"/>
        <v>0</v>
      </c>
      <c r="AF246" s="239">
        <f t="shared" si="76"/>
        <v>77</v>
      </c>
      <c r="AG246" s="239">
        <f t="shared" si="64"/>
        <v>25</v>
      </c>
      <c r="AH246" s="239">
        <f t="shared" si="65"/>
        <v>100</v>
      </c>
      <c r="AI246" s="238">
        <f t="shared" si="69"/>
        <v>83.461395360281827</v>
      </c>
      <c r="AJ246" s="238">
        <f t="shared" si="70"/>
        <v>79</v>
      </c>
      <c r="AK246" s="238">
        <f t="shared" si="71"/>
        <v>79</v>
      </c>
      <c r="AL246" s="238"/>
      <c r="AM246" s="240">
        <f t="shared" si="72"/>
        <v>2.6041099506585185E-2</v>
      </c>
      <c r="AN246" s="238">
        <f t="shared" si="73"/>
        <v>26.696539914340399</v>
      </c>
      <c r="AO246" s="240">
        <f t="shared" si="74"/>
        <v>3.1201370878323226E-2</v>
      </c>
      <c r="AP246" s="238">
        <f t="shared" si="75"/>
        <v>31.606988699741429</v>
      </c>
    </row>
    <row r="247" spans="1:42" ht="22.2" x14ac:dyDescent="0.7">
      <c r="A247" s="118"/>
      <c r="B247" s="118"/>
      <c r="C247" s="118"/>
      <c r="D247" s="118"/>
      <c r="R247" s="220">
        <v>7</v>
      </c>
      <c r="S247" s="220">
        <v>31</v>
      </c>
      <c r="T247" s="220">
        <v>5</v>
      </c>
      <c r="U247" s="220">
        <f t="shared" si="58"/>
        <v>24.444444444444443</v>
      </c>
      <c r="V247" s="237">
        <f t="shared" si="66"/>
        <v>35642.166666666075</v>
      </c>
      <c r="W247" s="234">
        <v>76</v>
      </c>
      <c r="X247" s="234">
        <f t="shared" si="59"/>
        <v>24.444444444444443</v>
      </c>
      <c r="Y247" s="234">
        <v>79</v>
      </c>
      <c r="Z247" s="238">
        <f t="shared" si="60"/>
        <v>70.987817684410729</v>
      </c>
      <c r="AA247" s="238">
        <f t="shared" si="61"/>
        <v>21.659898713561535</v>
      </c>
      <c r="AB247" s="239">
        <f t="shared" si="62"/>
        <v>72.240863263308043</v>
      </c>
      <c r="AC247" s="239">
        <f t="shared" si="63"/>
        <v>22.356035146282267</v>
      </c>
      <c r="AD247" s="239">
        <f t="shared" si="67"/>
        <v>76</v>
      </c>
      <c r="AE247" s="239" t="b">
        <f t="shared" si="68"/>
        <v>0</v>
      </c>
      <c r="AF247" s="239">
        <f t="shared" si="76"/>
        <v>76</v>
      </c>
      <c r="AG247" s="239">
        <f t="shared" si="64"/>
        <v>24.444444444444443</v>
      </c>
      <c r="AH247" s="239">
        <f t="shared" si="65"/>
        <v>100</v>
      </c>
      <c r="AI247" s="238">
        <f t="shared" si="69"/>
        <v>83.500883672106283</v>
      </c>
      <c r="AJ247" s="238">
        <f t="shared" si="70"/>
        <v>79</v>
      </c>
      <c r="AK247" s="238">
        <f t="shared" si="71"/>
        <v>79</v>
      </c>
      <c r="AL247" s="238"/>
      <c r="AM247" s="240">
        <f t="shared" si="72"/>
        <v>2.5204774488968747E-2</v>
      </c>
      <c r="AN247" s="238">
        <f t="shared" si="73"/>
        <v>25.845682297174559</v>
      </c>
      <c r="AO247" s="240">
        <f t="shared" si="74"/>
        <v>3.0185039224187846E-2</v>
      </c>
      <c r="AP247" s="238">
        <f t="shared" si="75"/>
        <v>30.577444734102286</v>
      </c>
    </row>
    <row r="248" spans="1:42" ht="22.2" x14ac:dyDescent="0.7">
      <c r="A248" s="118"/>
      <c r="B248" s="118"/>
      <c r="C248" s="118"/>
      <c r="D248" s="118"/>
      <c r="R248" s="220">
        <v>7</v>
      </c>
      <c r="S248" s="220">
        <v>31</v>
      </c>
      <c r="T248" s="220">
        <v>6</v>
      </c>
      <c r="U248" s="220">
        <f t="shared" si="58"/>
        <v>23.888888888888889</v>
      </c>
      <c r="V248" s="237">
        <f t="shared" si="66"/>
        <v>35642.208333332739</v>
      </c>
      <c r="W248" s="234">
        <v>75</v>
      </c>
      <c r="X248" s="234">
        <f t="shared" si="59"/>
        <v>23.888888888888889</v>
      </c>
      <c r="Y248" s="234">
        <v>82</v>
      </c>
      <c r="Z248" s="238">
        <f t="shared" si="60"/>
        <v>70.756989071286455</v>
      </c>
      <c r="AA248" s="238">
        <f t="shared" si="61"/>
        <v>21.53166059515916</v>
      </c>
      <c r="AB248" s="239">
        <f t="shared" si="62"/>
        <v>71.817741803464841</v>
      </c>
      <c r="AC248" s="239">
        <f t="shared" si="63"/>
        <v>22.120967668591597</v>
      </c>
      <c r="AD248" s="239">
        <f t="shared" si="67"/>
        <v>75</v>
      </c>
      <c r="AE248" s="239" t="b">
        <f t="shared" si="68"/>
        <v>0</v>
      </c>
      <c r="AF248" s="239">
        <f t="shared" si="76"/>
        <v>75</v>
      </c>
      <c r="AG248" s="239">
        <f t="shared" si="64"/>
        <v>23.888888888888889</v>
      </c>
      <c r="AH248" s="239">
        <f t="shared" si="65"/>
        <v>100</v>
      </c>
      <c r="AI248" s="238">
        <f t="shared" si="69"/>
        <v>85.806045738289285</v>
      </c>
      <c r="AJ248" s="238">
        <f t="shared" si="70"/>
        <v>82</v>
      </c>
      <c r="AK248" s="238">
        <f t="shared" si="71"/>
        <v>82</v>
      </c>
      <c r="AL248" s="238"/>
      <c r="AM248" s="240">
        <f t="shared" si="72"/>
        <v>2.5053396625566427E-2</v>
      </c>
      <c r="AN248" s="238">
        <f t="shared" si="73"/>
        <v>25.644114400510283</v>
      </c>
      <c r="AO248" s="240">
        <f t="shared" si="74"/>
        <v>2.9197705604544408E-2</v>
      </c>
      <c r="AP248" s="238">
        <f t="shared" si="75"/>
        <v>29.577275777403486</v>
      </c>
    </row>
    <row r="249" spans="1:42" ht="22.2" x14ac:dyDescent="0.7">
      <c r="A249" s="118"/>
      <c r="B249" s="118"/>
      <c r="C249" s="118"/>
      <c r="D249" s="118"/>
      <c r="R249" s="220">
        <v>7</v>
      </c>
      <c r="S249" s="220">
        <v>31</v>
      </c>
      <c r="T249" s="220">
        <v>7</v>
      </c>
      <c r="U249" s="220">
        <f t="shared" si="58"/>
        <v>23.888888888888889</v>
      </c>
      <c r="V249" s="237">
        <f t="shared" si="66"/>
        <v>35642.249999999403</v>
      </c>
      <c r="W249" s="234">
        <v>75</v>
      </c>
      <c r="X249" s="234">
        <f t="shared" si="59"/>
        <v>23.888888888888889</v>
      </c>
      <c r="Y249" s="234">
        <v>79</v>
      </c>
      <c r="Z249" s="238">
        <f t="shared" si="60"/>
        <v>70.030450368495863</v>
      </c>
      <c r="AA249" s="238">
        <f t="shared" si="61"/>
        <v>21.12802798249772</v>
      </c>
      <c r="AB249" s="239">
        <f t="shared" si="62"/>
        <v>71.272837776371901</v>
      </c>
      <c r="AC249" s="239">
        <f t="shared" si="63"/>
        <v>21.81824320909552</v>
      </c>
      <c r="AD249" s="239">
        <f t="shared" si="67"/>
        <v>75</v>
      </c>
      <c r="AE249" s="239" t="b">
        <f t="shared" si="68"/>
        <v>0</v>
      </c>
      <c r="AF249" s="239">
        <f t="shared" si="76"/>
        <v>75</v>
      </c>
      <c r="AG249" s="239">
        <f t="shared" si="64"/>
        <v>23.888888888888889</v>
      </c>
      <c r="AH249" s="239">
        <f t="shared" si="65"/>
        <v>100</v>
      </c>
      <c r="AI249" s="238">
        <f t="shared" si="69"/>
        <v>83.540423861241607</v>
      </c>
      <c r="AJ249" s="238">
        <f t="shared" si="70"/>
        <v>79</v>
      </c>
      <c r="AK249" s="238">
        <f t="shared" si="71"/>
        <v>79</v>
      </c>
      <c r="AL249" s="238"/>
      <c r="AM249" s="240">
        <f t="shared" si="72"/>
        <v>2.4391887019793897E-2</v>
      </c>
      <c r="AN249" s="238">
        <f t="shared" si="73"/>
        <v>25.018611217336488</v>
      </c>
      <c r="AO249" s="240">
        <f t="shared" si="74"/>
        <v>2.9197705604544408E-2</v>
      </c>
      <c r="AP249" s="238">
        <f t="shared" si="75"/>
        <v>29.577275777403486</v>
      </c>
    </row>
    <row r="250" spans="1:42" ht="22.2" x14ac:dyDescent="0.7">
      <c r="A250" s="118"/>
      <c r="B250" s="118"/>
      <c r="C250" s="118"/>
      <c r="D250" s="118"/>
      <c r="R250" s="220">
        <v>7</v>
      </c>
      <c r="S250" s="220">
        <v>31</v>
      </c>
      <c r="T250" s="220">
        <v>8</v>
      </c>
      <c r="U250" s="220">
        <f t="shared" si="58"/>
        <v>25</v>
      </c>
      <c r="V250" s="237">
        <f t="shared" si="66"/>
        <v>35642.291666666068</v>
      </c>
      <c r="W250" s="234">
        <v>77</v>
      </c>
      <c r="X250" s="234">
        <f t="shared" si="59"/>
        <v>25</v>
      </c>
      <c r="Y250" s="234">
        <v>76</v>
      </c>
      <c r="Z250" s="238">
        <f t="shared" si="60"/>
        <v>71.198351121590065</v>
      </c>
      <c r="AA250" s="238">
        <f t="shared" si="61"/>
        <v>21.77686173421672</v>
      </c>
      <c r="AB250" s="239">
        <f t="shared" si="62"/>
        <v>72.648763341192549</v>
      </c>
      <c r="AC250" s="239">
        <f t="shared" si="63"/>
        <v>22.582646300662546</v>
      </c>
      <c r="AD250" s="239">
        <f t="shared" si="67"/>
        <v>77</v>
      </c>
      <c r="AE250" s="239" t="b">
        <f t="shared" si="68"/>
        <v>0</v>
      </c>
      <c r="AF250" s="239">
        <f t="shared" si="76"/>
        <v>77</v>
      </c>
      <c r="AG250" s="239">
        <f t="shared" si="64"/>
        <v>25</v>
      </c>
      <c r="AH250" s="239">
        <f t="shared" si="65"/>
        <v>100</v>
      </c>
      <c r="AI250" s="238">
        <f t="shared" si="69"/>
        <v>81.209778385403879</v>
      </c>
      <c r="AJ250" s="238">
        <f t="shared" si="70"/>
        <v>76</v>
      </c>
      <c r="AK250" s="238">
        <f t="shared" si="71"/>
        <v>76</v>
      </c>
      <c r="AL250" s="238"/>
      <c r="AM250" s="240">
        <f t="shared" si="72"/>
        <v>2.5338564143494235E-2</v>
      </c>
      <c r="AN250" s="238">
        <f t="shared" si="73"/>
        <v>26.030733267981351</v>
      </c>
      <c r="AO250" s="240">
        <f t="shared" si="74"/>
        <v>3.1201370878323226E-2</v>
      </c>
      <c r="AP250" s="238">
        <f t="shared" si="75"/>
        <v>31.606988699741429</v>
      </c>
    </row>
    <row r="251" spans="1:42" ht="22.2" x14ac:dyDescent="0.7">
      <c r="A251" s="118"/>
      <c r="B251" s="118"/>
      <c r="C251" s="118"/>
      <c r="D251" s="118"/>
      <c r="R251" s="220">
        <v>7</v>
      </c>
      <c r="S251" s="220">
        <v>31</v>
      </c>
      <c r="T251" s="220">
        <v>9</v>
      </c>
      <c r="U251" s="220">
        <f t="shared" si="58"/>
        <v>26.666666666666668</v>
      </c>
      <c r="V251" s="237">
        <f t="shared" si="66"/>
        <v>35642.333333332732</v>
      </c>
      <c r="W251" s="234">
        <v>80</v>
      </c>
      <c r="X251" s="234">
        <f t="shared" si="59"/>
        <v>26.666666666666668</v>
      </c>
      <c r="Y251" s="234">
        <v>72</v>
      </c>
      <c r="Z251" s="238">
        <f t="shared" si="60"/>
        <v>73.007068748782217</v>
      </c>
      <c r="AA251" s="238">
        <f t="shared" si="61"/>
        <v>22.781704860434584</v>
      </c>
      <c r="AB251" s="239">
        <f t="shared" si="62"/>
        <v>74.755301561586663</v>
      </c>
      <c r="AC251" s="239">
        <f t="shared" si="63"/>
        <v>23.752945311992612</v>
      </c>
      <c r="AD251" s="239">
        <f t="shared" si="67"/>
        <v>80</v>
      </c>
      <c r="AE251" s="239" t="b">
        <f t="shared" si="68"/>
        <v>0</v>
      </c>
      <c r="AF251" s="239">
        <f t="shared" si="76"/>
        <v>80</v>
      </c>
      <c r="AG251" s="239">
        <f t="shared" si="64"/>
        <v>26.666666666666668</v>
      </c>
      <c r="AH251" s="239">
        <f t="shared" si="65"/>
        <v>100</v>
      </c>
      <c r="AI251" s="238">
        <f t="shared" si="69"/>
        <v>78.066677102211969</v>
      </c>
      <c r="AJ251" s="238">
        <f t="shared" si="70"/>
        <v>72</v>
      </c>
      <c r="AK251" s="238">
        <f t="shared" si="71"/>
        <v>72</v>
      </c>
      <c r="AL251" s="238"/>
      <c r="AM251" s="240">
        <f t="shared" si="72"/>
        <v>2.6879580547462333E-2</v>
      </c>
      <c r="AN251" s="238">
        <f t="shared" si="73"/>
        <v>27.668810508687166</v>
      </c>
      <c r="AO251" s="240">
        <f t="shared" si="74"/>
        <v>3.4431567405218425E-2</v>
      </c>
      <c r="AP251" s="238">
        <f t="shared" si="75"/>
        <v>34.879177781486263</v>
      </c>
    </row>
    <row r="252" spans="1:42" ht="22.2" x14ac:dyDescent="0.7">
      <c r="A252" s="118"/>
      <c r="B252" s="118"/>
      <c r="C252" s="118"/>
      <c r="D252" s="118"/>
      <c r="R252" s="220">
        <v>7</v>
      </c>
      <c r="S252" s="220">
        <v>31</v>
      </c>
      <c r="T252" s="220">
        <v>10</v>
      </c>
      <c r="U252" s="220">
        <f t="shared" si="58"/>
        <v>28.333333333333332</v>
      </c>
      <c r="V252" s="237">
        <f t="shared" si="66"/>
        <v>35642.374999999396</v>
      </c>
      <c r="W252" s="234">
        <v>83</v>
      </c>
      <c r="X252" s="234">
        <f t="shared" si="59"/>
        <v>28.333333333333332</v>
      </c>
      <c r="Y252" s="234">
        <v>70</v>
      </c>
      <c r="Z252" s="238">
        <f t="shared" si="60"/>
        <v>75.277556655220351</v>
      </c>
      <c r="AA252" s="238">
        <f t="shared" si="61"/>
        <v>24.043087030677992</v>
      </c>
      <c r="AB252" s="239">
        <f t="shared" si="62"/>
        <v>77.208167491415267</v>
      </c>
      <c r="AC252" s="239">
        <f t="shared" si="63"/>
        <v>25.115648606341836</v>
      </c>
      <c r="AD252" s="239">
        <f t="shared" si="67"/>
        <v>83</v>
      </c>
      <c r="AE252" s="239" t="b">
        <f t="shared" si="68"/>
        <v>0</v>
      </c>
      <c r="AF252" s="239">
        <f t="shared" si="76"/>
        <v>83</v>
      </c>
      <c r="AG252" s="239">
        <f t="shared" si="64"/>
        <v>28.333333333333332</v>
      </c>
      <c r="AH252" s="239">
        <f t="shared" si="65"/>
        <v>100</v>
      </c>
      <c r="AI252" s="238">
        <f t="shared" si="69"/>
        <v>76.379932144267457</v>
      </c>
      <c r="AJ252" s="238">
        <f t="shared" si="70"/>
        <v>70</v>
      </c>
      <c r="AK252" s="238">
        <f t="shared" si="71"/>
        <v>70</v>
      </c>
      <c r="AL252" s="238"/>
      <c r="AM252" s="240">
        <f t="shared" si="72"/>
        <v>2.8985654870202875E-2</v>
      </c>
      <c r="AN252" s="238">
        <f t="shared" si="73"/>
        <v>29.851975315612883</v>
      </c>
      <c r="AO252" s="240">
        <f t="shared" si="74"/>
        <v>3.7949306914091485E-2</v>
      </c>
      <c r="AP252" s="238">
        <f t="shared" si="75"/>
        <v>38.442647903974674</v>
      </c>
    </row>
    <row r="253" spans="1:42" ht="22.2" x14ac:dyDescent="0.7">
      <c r="A253" s="118"/>
      <c r="B253" s="118"/>
      <c r="C253" s="118"/>
      <c r="D253" s="118"/>
      <c r="R253" s="220">
        <v>7</v>
      </c>
      <c r="S253" s="220">
        <v>31</v>
      </c>
      <c r="T253" s="220">
        <v>11</v>
      </c>
      <c r="U253" s="220">
        <f t="shared" si="58"/>
        <v>30</v>
      </c>
      <c r="V253" s="237">
        <f t="shared" si="66"/>
        <v>35642.41666666606</v>
      </c>
      <c r="W253" s="234">
        <v>86</v>
      </c>
      <c r="X253" s="234">
        <f t="shared" si="59"/>
        <v>30</v>
      </c>
      <c r="Y253" s="234">
        <v>65</v>
      </c>
      <c r="Z253" s="238">
        <f t="shared" si="60"/>
        <v>76.650031454005244</v>
      </c>
      <c r="AA253" s="238">
        <f t="shared" si="61"/>
        <v>24.805573030002936</v>
      </c>
      <c r="AB253" s="239">
        <f t="shared" si="62"/>
        <v>78.98752359050394</v>
      </c>
      <c r="AC253" s="239">
        <f t="shared" si="63"/>
        <v>26.10417977250221</v>
      </c>
      <c r="AD253" s="239">
        <f t="shared" si="67"/>
        <v>86</v>
      </c>
      <c r="AE253" s="239" t="b">
        <f t="shared" si="68"/>
        <v>0</v>
      </c>
      <c r="AF253" s="239">
        <f t="shared" si="76"/>
        <v>86</v>
      </c>
      <c r="AG253" s="239">
        <f t="shared" si="64"/>
        <v>30</v>
      </c>
      <c r="AH253" s="239">
        <f t="shared" si="65"/>
        <v>100</v>
      </c>
      <c r="AI253" s="238">
        <f t="shared" si="69"/>
        <v>72.421147020202625</v>
      </c>
      <c r="AJ253" s="238">
        <f t="shared" si="70"/>
        <v>65</v>
      </c>
      <c r="AK253" s="238">
        <f t="shared" si="71"/>
        <v>65</v>
      </c>
      <c r="AL253" s="238"/>
      <c r="AM253" s="240">
        <f t="shared" si="72"/>
        <v>3.0254519029508122E-2</v>
      </c>
      <c r="AN253" s="238">
        <f t="shared" si="73"/>
        <v>31.243294448482263</v>
      </c>
      <c r="AO253" s="240">
        <f t="shared" si="74"/>
        <v>4.177580758430726E-2</v>
      </c>
      <c r="AP253" s="238">
        <f t="shared" si="75"/>
        <v>42.318893082903251</v>
      </c>
    </row>
    <row r="254" spans="1:42" ht="22.2" x14ac:dyDescent="0.7">
      <c r="A254" s="118"/>
      <c r="B254" s="118"/>
      <c r="C254" s="118"/>
      <c r="D254" s="118"/>
      <c r="R254" s="220">
        <v>7</v>
      </c>
      <c r="S254" s="220">
        <v>31</v>
      </c>
      <c r="T254" s="220">
        <v>12</v>
      </c>
      <c r="U254" s="220">
        <f t="shared" si="58"/>
        <v>31.666666666666668</v>
      </c>
      <c r="V254" s="237">
        <f t="shared" si="66"/>
        <v>35642.458333332725</v>
      </c>
      <c r="W254" s="234">
        <v>89</v>
      </c>
      <c r="X254" s="234">
        <f t="shared" si="59"/>
        <v>31.666666666666668</v>
      </c>
      <c r="Y254" s="234">
        <v>59</v>
      </c>
      <c r="Z254" s="238">
        <f t="shared" si="60"/>
        <v>77.580230129374669</v>
      </c>
      <c r="AA254" s="238">
        <f t="shared" si="61"/>
        <v>25.322350071874837</v>
      </c>
      <c r="AB254" s="239">
        <f t="shared" si="62"/>
        <v>80.435172597030999</v>
      </c>
      <c r="AC254" s="239">
        <f t="shared" si="63"/>
        <v>26.908429220572799</v>
      </c>
      <c r="AD254" s="239">
        <f t="shared" si="67"/>
        <v>89</v>
      </c>
      <c r="AE254" s="239" t="b">
        <f t="shared" si="68"/>
        <v>0</v>
      </c>
      <c r="AF254" s="239">
        <f t="shared" si="76"/>
        <v>89</v>
      </c>
      <c r="AG254" s="239">
        <f t="shared" si="64"/>
        <v>31.666666666666668</v>
      </c>
      <c r="AH254" s="239">
        <f t="shared" si="65"/>
        <v>100</v>
      </c>
      <c r="AI254" s="238">
        <f t="shared" si="69"/>
        <v>67.672818081152656</v>
      </c>
      <c r="AJ254" s="238">
        <f t="shared" si="70"/>
        <v>59</v>
      </c>
      <c r="AK254" s="238">
        <f t="shared" si="71"/>
        <v>59</v>
      </c>
      <c r="AL254" s="238"/>
      <c r="AM254" s="240">
        <f t="shared" si="72"/>
        <v>3.1084496462529154E-2</v>
      </c>
      <c r="AN254" s="238">
        <f t="shared" si="73"/>
        <v>32.21811281930411</v>
      </c>
      <c r="AO254" s="240">
        <f t="shared" si="74"/>
        <v>4.5933503796535997E-2</v>
      </c>
      <c r="AP254" s="238">
        <f t="shared" si="75"/>
        <v>46.530639345890968</v>
      </c>
    </row>
    <row r="255" spans="1:42" ht="22.2" x14ac:dyDescent="0.7">
      <c r="A255" s="118"/>
      <c r="B255" s="118"/>
      <c r="C255" s="118"/>
      <c r="D255" s="118"/>
      <c r="R255" s="220">
        <v>7</v>
      </c>
      <c r="S255" s="220">
        <v>31</v>
      </c>
      <c r="T255" s="220">
        <v>13</v>
      </c>
      <c r="U255" s="220">
        <f t="shared" si="58"/>
        <v>32.222222222222221</v>
      </c>
      <c r="V255" s="237">
        <f t="shared" si="66"/>
        <v>35642.499999999389</v>
      </c>
      <c r="W255" s="234">
        <v>90</v>
      </c>
      <c r="X255" s="234">
        <f t="shared" si="59"/>
        <v>32.222222222222221</v>
      </c>
      <c r="Y255" s="234">
        <v>54</v>
      </c>
      <c r="Z255" s="238">
        <f t="shared" si="60"/>
        <v>76.887768638798633</v>
      </c>
      <c r="AA255" s="238">
        <f t="shared" si="61"/>
        <v>24.937649243777038</v>
      </c>
      <c r="AB255" s="239">
        <f t="shared" si="62"/>
        <v>80.165826479098968</v>
      </c>
      <c r="AC255" s="239">
        <f t="shared" si="63"/>
        <v>26.758792488388337</v>
      </c>
      <c r="AD255" s="239">
        <f t="shared" si="67"/>
        <v>90</v>
      </c>
      <c r="AE255" s="239" t="b">
        <f t="shared" si="68"/>
        <v>0</v>
      </c>
      <c r="AF255" s="239">
        <f t="shared" si="76"/>
        <v>90</v>
      </c>
      <c r="AG255" s="239">
        <f t="shared" si="64"/>
        <v>32.222222222222221</v>
      </c>
      <c r="AH255" s="239">
        <f t="shared" si="65"/>
        <v>100</v>
      </c>
      <c r="AI255" s="238">
        <f t="shared" si="69"/>
        <v>63.846709304123529</v>
      </c>
      <c r="AJ255" s="238">
        <f t="shared" si="70"/>
        <v>54</v>
      </c>
      <c r="AK255" s="238">
        <f t="shared" si="71"/>
        <v>54</v>
      </c>
      <c r="AL255" s="238"/>
      <c r="AM255" s="240">
        <f t="shared" si="72"/>
        <v>3.0261463165578557E-2</v>
      </c>
      <c r="AN255" s="238">
        <f t="shared" si="73"/>
        <v>31.489955618960355</v>
      </c>
      <c r="AO255" s="240">
        <f t="shared" si="74"/>
        <v>4.7397060076241275E-2</v>
      </c>
      <c r="AP255" s="238">
        <f t="shared" si="75"/>
        <v>48.013221857232409</v>
      </c>
    </row>
    <row r="256" spans="1:42" ht="22.2" x14ac:dyDescent="0.7">
      <c r="A256" s="118"/>
      <c r="B256" s="118"/>
      <c r="C256" s="118"/>
      <c r="D256" s="118"/>
      <c r="R256" s="220">
        <v>7</v>
      </c>
      <c r="S256" s="220">
        <v>31</v>
      </c>
      <c r="T256" s="220">
        <v>14</v>
      </c>
      <c r="U256" s="220">
        <f t="shared" si="58"/>
        <v>33.333333333333336</v>
      </c>
      <c r="V256" s="237">
        <f t="shared" si="66"/>
        <v>35642.541666666053</v>
      </c>
      <c r="W256" s="234">
        <v>92</v>
      </c>
      <c r="X256" s="234">
        <f t="shared" si="59"/>
        <v>33.333333333333336</v>
      </c>
      <c r="Y256" s="234">
        <v>49</v>
      </c>
      <c r="Z256" s="238">
        <f t="shared" si="60"/>
        <v>76.948352014142174</v>
      </c>
      <c r="AA256" s="238">
        <f t="shared" si="61"/>
        <v>24.971306674523451</v>
      </c>
      <c r="AB256" s="239">
        <f t="shared" si="62"/>
        <v>80.711264010606627</v>
      </c>
      <c r="AC256" s="239">
        <f t="shared" si="63"/>
        <v>27.061813339225928</v>
      </c>
      <c r="AD256" s="239">
        <f t="shared" si="67"/>
        <v>92</v>
      </c>
      <c r="AE256" s="239" t="b">
        <f t="shared" si="68"/>
        <v>0</v>
      </c>
      <c r="AF256" s="239">
        <f t="shared" si="76"/>
        <v>92</v>
      </c>
      <c r="AG256" s="239">
        <f t="shared" si="64"/>
        <v>33.333333333333336</v>
      </c>
      <c r="AH256" s="239">
        <f t="shared" si="65"/>
        <v>100</v>
      </c>
      <c r="AI256" s="238">
        <f t="shared" si="69"/>
        <v>59.869962151555747</v>
      </c>
      <c r="AJ256" s="238">
        <f t="shared" si="70"/>
        <v>49</v>
      </c>
      <c r="AK256" s="238">
        <f t="shared" si="71"/>
        <v>49</v>
      </c>
      <c r="AL256" s="238"/>
      <c r="AM256" s="240">
        <f t="shared" si="72"/>
        <v>3.0202056644377435E-2</v>
      </c>
      <c r="AN256" s="238">
        <f t="shared" si="73"/>
        <v>31.553083975193246</v>
      </c>
      <c r="AO256" s="240">
        <f t="shared" si="74"/>
        <v>5.0446092763385228E-2</v>
      </c>
      <c r="AP256" s="238">
        <f t="shared" si="75"/>
        <v>51.101891969309236</v>
      </c>
    </row>
    <row r="257" spans="1:42" ht="22.2" x14ac:dyDescent="0.7">
      <c r="A257" s="118"/>
      <c r="B257" s="118"/>
      <c r="C257" s="118"/>
      <c r="D257" s="118"/>
      <c r="R257" s="220">
        <v>7</v>
      </c>
      <c r="S257" s="220">
        <v>31</v>
      </c>
      <c r="T257" s="220">
        <v>15</v>
      </c>
      <c r="U257" s="220">
        <f t="shared" si="58"/>
        <v>32.777777777777779</v>
      </c>
      <c r="V257" s="237">
        <f t="shared" si="66"/>
        <v>35642.583333332717</v>
      </c>
      <c r="W257" s="234">
        <v>91</v>
      </c>
      <c r="X257" s="234">
        <f t="shared" si="59"/>
        <v>32.777777777777779</v>
      </c>
      <c r="Y257" s="234">
        <v>49</v>
      </c>
      <c r="Z257" s="238">
        <f t="shared" si="60"/>
        <v>76.092912388613385</v>
      </c>
      <c r="AA257" s="238">
        <f t="shared" si="61"/>
        <v>24.496062438118567</v>
      </c>
      <c r="AB257" s="239">
        <f t="shared" si="62"/>
        <v>79.819684291460035</v>
      </c>
      <c r="AC257" s="239">
        <f t="shared" si="63"/>
        <v>26.566491273033375</v>
      </c>
      <c r="AD257" s="239">
        <f t="shared" si="67"/>
        <v>91</v>
      </c>
      <c r="AE257" s="239" t="b">
        <f t="shared" si="68"/>
        <v>0</v>
      </c>
      <c r="AF257" s="239">
        <f t="shared" si="76"/>
        <v>91</v>
      </c>
      <c r="AG257" s="239">
        <f t="shared" si="64"/>
        <v>32.777777777777779</v>
      </c>
      <c r="AH257" s="239">
        <f t="shared" si="65"/>
        <v>100</v>
      </c>
      <c r="AI257" s="238">
        <f t="shared" si="69"/>
        <v>60.007416767146715</v>
      </c>
      <c r="AJ257" s="238">
        <f t="shared" si="70"/>
        <v>49</v>
      </c>
      <c r="AK257" s="238">
        <f t="shared" si="71"/>
        <v>49</v>
      </c>
      <c r="AL257" s="238"/>
      <c r="AM257" s="240">
        <f t="shared" si="72"/>
        <v>2.9344195508920284E-2</v>
      </c>
      <c r="AN257" s="238">
        <f t="shared" si="73"/>
        <v>30.671853257719025</v>
      </c>
      <c r="AO257" s="240">
        <f t="shared" si="74"/>
        <v>4.8900947732490714E-2</v>
      </c>
      <c r="AP257" s="238">
        <f t="shared" si="75"/>
        <v>49.536660053013094</v>
      </c>
    </row>
    <row r="258" spans="1:42" ht="22.2" x14ac:dyDescent="0.7">
      <c r="A258" s="118"/>
      <c r="B258" s="118"/>
      <c r="C258" s="118"/>
      <c r="D258" s="118"/>
      <c r="R258" s="220">
        <v>7</v>
      </c>
      <c r="S258" s="220">
        <v>31</v>
      </c>
      <c r="T258" s="220">
        <v>16</v>
      </c>
      <c r="U258" s="220">
        <f t="shared" si="58"/>
        <v>32.777777777777779</v>
      </c>
      <c r="V258" s="237">
        <f t="shared" si="66"/>
        <v>35642.624999999382</v>
      </c>
      <c r="W258" s="234">
        <v>91</v>
      </c>
      <c r="X258" s="234">
        <f t="shared" si="59"/>
        <v>32.777777777777779</v>
      </c>
      <c r="Y258" s="234">
        <v>45</v>
      </c>
      <c r="Z258" s="238">
        <f t="shared" si="60"/>
        <v>74.700045814050185</v>
      </c>
      <c r="AA258" s="238">
        <f t="shared" si="61"/>
        <v>23.722247674472346</v>
      </c>
      <c r="AB258" s="239">
        <f t="shared" si="62"/>
        <v>78.775034360537632</v>
      </c>
      <c r="AC258" s="239">
        <f t="shared" si="63"/>
        <v>25.986130200298707</v>
      </c>
      <c r="AD258" s="239">
        <f t="shared" si="67"/>
        <v>91</v>
      </c>
      <c r="AE258" s="239" t="b">
        <f t="shared" si="68"/>
        <v>0</v>
      </c>
      <c r="AF258" s="239">
        <f t="shared" si="76"/>
        <v>91</v>
      </c>
      <c r="AG258" s="239">
        <f t="shared" si="64"/>
        <v>32.777777777777779</v>
      </c>
      <c r="AH258" s="239">
        <f t="shared" si="65"/>
        <v>100</v>
      </c>
      <c r="AI258" s="238">
        <f t="shared" si="69"/>
        <v>57.036302473854818</v>
      </c>
      <c r="AJ258" s="238">
        <f t="shared" si="70"/>
        <v>45</v>
      </c>
      <c r="AK258" s="238">
        <f t="shared" si="71"/>
        <v>45</v>
      </c>
      <c r="AL258" s="238"/>
      <c r="AM258" s="240">
        <f t="shared" si="72"/>
        <v>2.789129246128505E-2</v>
      </c>
      <c r="AN258" s="238">
        <f t="shared" si="73"/>
        <v>29.282891512113633</v>
      </c>
      <c r="AO258" s="240">
        <f t="shared" si="74"/>
        <v>4.8900947732490714E-2</v>
      </c>
      <c r="AP258" s="238">
        <f t="shared" si="75"/>
        <v>49.536660053013094</v>
      </c>
    </row>
    <row r="259" spans="1:42" ht="22.2" x14ac:dyDescent="0.7">
      <c r="A259" s="118"/>
      <c r="B259" s="118"/>
      <c r="C259" s="118"/>
      <c r="D259" s="118"/>
      <c r="R259" s="220">
        <v>7</v>
      </c>
      <c r="S259" s="220">
        <v>31</v>
      </c>
      <c r="T259" s="220">
        <v>17</v>
      </c>
      <c r="U259" s="220">
        <f t="shared" si="58"/>
        <v>32.222222222222221</v>
      </c>
      <c r="V259" s="237">
        <f t="shared" si="66"/>
        <v>35642.666666666046</v>
      </c>
      <c r="W259" s="234">
        <v>90</v>
      </c>
      <c r="X259" s="234">
        <f t="shared" si="59"/>
        <v>32.222222222222221</v>
      </c>
      <c r="Y259" s="234">
        <v>45</v>
      </c>
      <c r="Z259" s="238">
        <f t="shared" si="60"/>
        <v>73.862539759571106</v>
      </c>
      <c r="AA259" s="238">
        <f t="shared" si="61"/>
        <v>23.256966533095078</v>
      </c>
      <c r="AB259" s="239">
        <f t="shared" si="62"/>
        <v>77.896904819678326</v>
      </c>
      <c r="AC259" s="239">
        <f t="shared" si="63"/>
        <v>25.498280455376868</v>
      </c>
      <c r="AD259" s="239">
        <f t="shared" si="67"/>
        <v>90</v>
      </c>
      <c r="AE259" s="239" t="b">
        <f t="shared" si="68"/>
        <v>0</v>
      </c>
      <c r="AF259" s="239">
        <f t="shared" si="76"/>
        <v>90</v>
      </c>
      <c r="AG259" s="239">
        <f t="shared" si="64"/>
        <v>32.222222222222221</v>
      </c>
      <c r="AH259" s="239">
        <f t="shared" si="65"/>
        <v>100</v>
      </c>
      <c r="AI259" s="238">
        <f t="shared" si="69"/>
        <v>57.189791043654147</v>
      </c>
      <c r="AJ259" s="238">
        <f t="shared" si="70"/>
        <v>45</v>
      </c>
      <c r="AK259" s="238">
        <f t="shared" si="71"/>
        <v>45</v>
      </c>
      <c r="AL259" s="238"/>
      <c r="AM259" s="240">
        <f t="shared" si="72"/>
        <v>2.7106279618437611E-2</v>
      </c>
      <c r="AN259" s="238">
        <f t="shared" si="73"/>
        <v>28.474430959293588</v>
      </c>
      <c r="AO259" s="240">
        <f t="shared" si="74"/>
        <v>4.7397060076241275E-2</v>
      </c>
      <c r="AP259" s="238">
        <f t="shared" si="75"/>
        <v>48.013221857232409</v>
      </c>
    </row>
    <row r="260" spans="1:42" ht="22.2" x14ac:dyDescent="0.7">
      <c r="A260" s="118"/>
      <c r="B260" s="118"/>
      <c r="C260" s="118"/>
      <c r="D260" s="118"/>
      <c r="R260" s="220">
        <v>7</v>
      </c>
      <c r="S260" s="220">
        <v>31</v>
      </c>
      <c r="T260" s="220">
        <v>18</v>
      </c>
      <c r="U260" s="220">
        <f t="shared" ref="U260:U266" si="77">+(W260-32)*5/9</f>
        <v>31.111111111111111</v>
      </c>
      <c r="V260" s="237">
        <f t="shared" si="66"/>
        <v>35642.70833333271</v>
      </c>
      <c r="W260" s="234">
        <v>88</v>
      </c>
      <c r="X260" s="234">
        <f t="shared" ref="X260:X266" si="78">+(W260-32)*5/9</f>
        <v>31.111111111111111</v>
      </c>
      <c r="Y260" s="234">
        <v>47</v>
      </c>
      <c r="Z260" s="238">
        <f t="shared" ref="Z260:Z266" si="79">(X260*ATAN(0.151977*(Y260+8.313659)^0.5)+ATAN(X260+Y260)-ATAN(Y260-1.676331)+0.00391838*(Y260)^1.5*ATAN(0.023101*Y260)-4.686035)*9/5+32</f>
        <v>72.863388207879325</v>
      </c>
      <c r="AA260" s="238">
        <f t="shared" ref="AA260:AA266" si="80">+(Z260-32)*0.555555555555556</f>
        <v>22.701882337710757</v>
      </c>
      <c r="AB260" s="239">
        <f t="shared" ref="AB260:AB266" si="81">-(W260-Z260)*0.75+W260</f>
        <v>76.647541155909494</v>
      </c>
      <c r="AC260" s="239">
        <f t="shared" ref="AC260:AC266" si="82">+(AB260-32)*0.555555555555556</f>
        <v>24.80418953106085</v>
      </c>
      <c r="AD260" s="239">
        <f t="shared" si="67"/>
        <v>88</v>
      </c>
      <c r="AE260" s="239" t="b">
        <f t="shared" si="68"/>
        <v>0</v>
      </c>
      <c r="AF260" s="239">
        <f t="shared" si="76"/>
        <v>88</v>
      </c>
      <c r="AG260" s="239">
        <f t="shared" ref="AG260:AG267" si="83">+(AF260-32)*5/9</f>
        <v>31.111111111111111</v>
      </c>
      <c r="AH260" s="239">
        <f t="shared" ref="AH260:AH267" si="84">+$H$4</f>
        <v>100</v>
      </c>
      <c r="AI260" s="238">
        <f t="shared" si="69"/>
        <v>58.964202229601725</v>
      </c>
      <c r="AJ260" s="238">
        <f t="shared" si="70"/>
        <v>47</v>
      </c>
      <c r="AK260" s="238">
        <f t="shared" si="71"/>
        <v>47</v>
      </c>
      <c r="AL260" s="238"/>
      <c r="AM260" s="240">
        <f t="shared" si="72"/>
        <v>2.6244594503624156E-2</v>
      </c>
      <c r="AN260" s="238">
        <f t="shared" si="73"/>
        <v>27.535473049297011</v>
      </c>
      <c r="AO260" s="240">
        <f t="shared" si="74"/>
        <v>4.4509369263455605E-2</v>
      </c>
      <c r="AP260" s="238">
        <f t="shared" si="75"/>
        <v>45.08799106388053</v>
      </c>
    </row>
    <row r="261" spans="1:42" ht="22.2" x14ac:dyDescent="0.7">
      <c r="A261" s="118"/>
      <c r="B261" s="118"/>
      <c r="C261" s="118"/>
      <c r="D261" s="118"/>
      <c r="R261" s="220">
        <v>7</v>
      </c>
      <c r="S261" s="220">
        <v>31</v>
      </c>
      <c r="T261" s="220">
        <v>19</v>
      </c>
      <c r="U261" s="220">
        <f t="shared" si="77"/>
        <v>30</v>
      </c>
      <c r="V261" s="237">
        <f t="shared" ref="V261:V266" si="85">+V260+1/24</f>
        <v>35642.749999999374</v>
      </c>
      <c r="W261" s="234">
        <v>86</v>
      </c>
      <c r="X261" s="234">
        <f t="shared" si="78"/>
        <v>30</v>
      </c>
      <c r="Y261" s="234">
        <v>51</v>
      </c>
      <c r="Z261" s="238">
        <f t="shared" si="79"/>
        <v>72.450284929485235</v>
      </c>
      <c r="AA261" s="238">
        <f t="shared" si="80"/>
        <v>22.472380516380706</v>
      </c>
      <c r="AB261" s="239">
        <f t="shared" si="81"/>
        <v>75.837713697113927</v>
      </c>
      <c r="AC261" s="239">
        <f t="shared" si="82"/>
        <v>24.354285387285536</v>
      </c>
      <c r="AD261" s="239">
        <f t="shared" ref="AD261:AD266" si="86">+IF(W261&gt;=$H$4,AB261,W261)</f>
        <v>86</v>
      </c>
      <c r="AE261" s="239" t="b">
        <f t="shared" ref="AE261:AE266" si="87">+AND(AD261&lt;W261,$H$4&gt;=AD261)</f>
        <v>0</v>
      </c>
      <c r="AF261" s="239">
        <f t="shared" si="76"/>
        <v>86</v>
      </c>
      <c r="AG261" s="239">
        <f t="shared" si="83"/>
        <v>30</v>
      </c>
      <c r="AH261" s="239">
        <f t="shared" si="84"/>
        <v>100</v>
      </c>
      <c r="AI261" s="238">
        <f t="shared" ref="AI261:AI266" si="88">+AM261/AO261*100</f>
        <v>62.161303946159485</v>
      </c>
      <c r="AJ261" s="238">
        <f t="shared" ref="AJ261:AJ266" si="89">+Y261</f>
        <v>51</v>
      </c>
      <c r="AK261" s="238">
        <f t="shared" ref="AK261:AK266" si="90">+IF(W261&gt;=AH261,AI261,AJ261)</f>
        <v>51</v>
      </c>
      <c r="AL261" s="238"/>
      <c r="AM261" s="240">
        <f t="shared" ref="AM261:AM266" si="91">+((AC261-AA261)*1.005-2500*(AN261/1013))/(-(AC261-AA261)*4.186-2500)</f>
        <v>2.5968386728443982E-2</v>
      </c>
      <c r="AN261" s="238">
        <f t="shared" ref="AN261:AN266" si="92">6.11*10^(7.5*AA261/(237.7+AA261))</f>
        <v>27.155228096714009</v>
      </c>
      <c r="AO261" s="240">
        <f t="shared" ref="AO261:AO266" si="93">+AP261/1013</f>
        <v>4.177580758430726E-2</v>
      </c>
      <c r="AP261" s="238">
        <f t="shared" ref="AP261:AP266" si="94">6.11*10^(7.5*AG261/(237.7+AG261))</f>
        <v>42.318893082903251</v>
      </c>
    </row>
    <row r="262" spans="1:42" ht="22.2" x14ac:dyDescent="0.7">
      <c r="A262" s="118"/>
      <c r="B262" s="118"/>
      <c r="C262" s="118"/>
      <c r="D262" s="118"/>
      <c r="R262" s="220">
        <v>7</v>
      </c>
      <c r="S262" s="220">
        <v>31</v>
      </c>
      <c r="T262" s="220">
        <v>20</v>
      </c>
      <c r="U262" s="220">
        <f t="shared" si="77"/>
        <v>28.333333333333332</v>
      </c>
      <c r="V262" s="237">
        <f t="shared" si="85"/>
        <v>35642.791666666039</v>
      </c>
      <c r="W262" s="234">
        <v>83</v>
      </c>
      <c r="X262" s="234">
        <f t="shared" si="78"/>
        <v>28.333333333333332</v>
      </c>
      <c r="Y262" s="234">
        <v>59</v>
      </c>
      <c r="Z262" s="238">
        <f t="shared" si="79"/>
        <v>72.210424251783252</v>
      </c>
      <c r="AA262" s="238">
        <f t="shared" si="80"/>
        <v>22.339124584324047</v>
      </c>
      <c r="AB262" s="239">
        <f t="shared" si="81"/>
        <v>74.907818188837439</v>
      </c>
      <c r="AC262" s="239">
        <f t="shared" si="82"/>
        <v>23.837676771576376</v>
      </c>
      <c r="AD262" s="239">
        <f t="shared" si="86"/>
        <v>83</v>
      </c>
      <c r="AE262" s="239" t="b">
        <f t="shared" si="87"/>
        <v>0</v>
      </c>
      <c r="AF262" s="239">
        <f t="shared" si="76"/>
        <v>83</v>
      </c>
      <c r="AG262" s="239">
        <f t="shared" si="83"/>
        <v>28.333333333333332</v>
      </c>
      <c r="AH262" s="239">
        <f t="shared" si="84"/>
        <v>100</v>
      </c>
      <c r="AI262" s="238">
        <f t="shared" si="88"/>
        <v>68.310631123667804</v>
      </c>
      <c r="AJ262" s="238">
        <f t="shared" si="89"/>
        <v>59</v>
      </c>
      <c r="AK262" s="238">
        <f t="shared" si="90"/>
        <v>59</v>
      </c>
      <c r="AL262" s="238"/>
      <c r="AM262" s="240">
        <f t="shared" si="91"/>
        <v>2.5923411060073592E-2</v>
      </c>
      <c r="AN262" s="238">
        <f t="shared" si="92"/>
        <v>26.93655681522598</v>
      </c>
      <c r="AO262" s="240">
        <f t="shared" si="93"/>
        <v>3.7949306914091485E-2</v>
      </c>
      <c r="AP262" s="238">
        <f t="shared" si="94"/>
        <v>38.442647903974674</v>
      </c>
    </row>
    <row r="263" spans="1:42" ht="22.2" x14ac:dyDescent="0.7">
      <c r="A263" s="118"/>
      <c r="B263" s="118"/>
      <c r="C263" s="118"/>
      <c r="D263" s="118"/>
      <c r="R263" s="220">
        <v>7</v>
      </c>
      <c r="S263" s="220">
        <v>31</v>
      </c>
      <c r="T263" s="220">
        <v>21</v>
      </c>
      <c r="U263" s="220">
        <f t="shared" si="77"/>
        <v>27.777777777777779</v>
      </c>
      <c r="V263" s="237">
        <f t="shared" si="85"/>
        <v>35642.833333332703</v>
      </c>
      <c r="W263" s="234">
        <v>82</v>
      </c>
      <c r="X263" s="234">
        <f t="shared" si="78"/>
        <v>27.777777777777779</v>
      </c>
      <c r="Y263" s="234">
        <v>61</v>
      </c>
      <c r="Z263" s="238">
        <f t="shared" si="79"/>
        <v>71.87838984107762</v>
      </c>
      <c r="AA263" s="238">
        <f t="shared" si="80"/>
        <v>22.154661022820918</v>
      </c>
      <c r="AB263" s="239">
        <f t="shared" si="81"/>
        <v>74.408792380808222</v>
      </c>
      <c r="AC263" s="239">
        <f t="shared" si="82"/>
        <v>23.560440211560142</v>
      </c>
      <c r="AD263" s="239">
        <f t="shared" si="86"/>
        <v>82</v>
      </c>
      <c r="AE263" s="239" t="b">
        <f t="shared" si="87"/>
        <v>0</v>
      </c>
      <c r="AF263" s="239">
        <f t="shared" si="76"/>
        <v>82</v>
      </c>
      <c r="AG263" s="239">
        <f t="shared" si="83"/>
        <v>27.777777777777779</v>
      </c>
      <c r="AH263" s="239">
        <f t="shared" si="84"/>
        <v>100</v>
      </c>
      <c r="AI263" s="238">
        <f t="shared" si="88"/>
        <v>69.860042569034448</v>
      </c>
      <c r="AJ263" s="238">
        <f t="shared" si="89"/>
        <v>61</v>
      </c>
      <c r="AK263" s="238">
        <f t="shared" si="90"/>
        <v>61</v>
      </c>
      <c r="AL263" s="238"/>
      <c r="AM263" s="240">
        <f t="shared" si="91"/>
        <v>2.5669019623137411E-2</v>
      </c>
      <c r="AN263" s="238">
        <f t="shared" si="92"/>
        <v>26.636392862753603</v>
      </c>
      <c r="AO263" s="240">
        <f t="shared" si="93"/>
        <v>3.6743492673614889E-2</v>
      </c>
      <c r="AP263" s="238">
        <f t="shared" si="94"/>
        <v>37.221158078371879</v>
      </c>
    </row>
    <row r="264" spans="1:42" ht="22.2" x14ac:dyDescent="0.7">
      <c r="A264" s="118"/>
      <c r="B264" s="118"/>
      <c r="C264" s="118"/>
      <c r="D264" s="118"/>
      <c r="R264" s="220">
        <v>7</v>
      </c>
      <c r="S264" s="220">
        <v>31</v>
      </c>
      <c r="T264" s="220">
        <v>22</v>
      </c>
      <c r="U264" s="220">
        <f t="shared" si="77"/>
        <v>26.666666666666668</v>
      </c>
      <c r="V264" s="237">
        <f t="shared" si="85"/>
        <v>35642.874999999367</v>
      </c>
      <c r="W264" s="234">
        <v>80</v>
      </c>
      <c r="X264" s="234">
        <f t="shared" si="78"/>
        <v>26.666666666666668</v>
      </c>
      <c r="Y264" s="234">
        <v>65</v>
      </c>
      <c r="Z264" s="238">
        <f t="shared" si="79"/>
        <v>71.155888018238869</v>
      </c>
      <c r="AA264" s="238">
        <f t="shared" si="80"/>
        <v>21.753271121243834</v>
      </c>
      <c r="AB264" s="239">
        <f t="shared" si="81"/>
        <v>73.366916013679145</v>
      </c>
      <c r="AC264" s="239">
        <f t="shared" si="82"/>
        <v>22.981620007599545</v>
      </c>
      <c r="AD264" s="239">
        <f t="shared" si="86"/>
        <v>80</v>
      </c>
      <c r="AE264" s="239" t="b">
        <f t="shared" si="87"/>
        <v>0</v>
      </c>
      <c r="AF264" s="239">
        <f t="shared" si="76"/>
        <v>80</v>
      </c>
      <c r="AG264" s="239">
        <f t="shared" si="83"/>
        <v>26.666666666666668</v>
      </c>
      <c r="AH264" s="239">
        <f t="shared" si="84"/>
        <v>100</v>
      </c>
      <c r="AI264" s="238">
        <f t="shared" si="88"/>
        <v>72.939724105766473</v>
      </c>
      <c r="AJ264" s="238">
        <f t="shared" si="89"/>
        <v>65</v>
      </c>
      <c r="AK264" s="238">
        <f t="shared" si="90"/>
        <v>65</v>
      </c>
      <c r="AL264" s="238"/>
      <c r="AM264" s="240">
        <f t="shared" si="91"/>
        <v>2.5114290270657338E-2</v>
      </c>
      <c r="AN264" s="238">
        <f t="shared" si="92"/>
        <v>25.993316897125784</v>
      </c>
      <c r="AO264" s="240">
        <f t="shared" si="93"/>
        <v>3.4431567405218425E-2</v>
      </c>
      <c r="AP264" s="238">
        <f t="shared" si="94"/>
        <v>34.879177781486263</v>
      </c>
    </row>
    <row r="265" spans="1:42" ht="22.2" x14ac:dyDescent="0.7">
      <c r="A265" s="118"/>
      <c r="B265" s="118"/>
      <c r="C265" s="118"/>
      <c r="D265" s="118"/>
      <c r="R265" s="220">
        <v>7</v>
      </c>
      <c r="S265" s="220">
        <v>31</v>
      </c>
      <c r="T265" s="220">
        <v>23</v>
      </c>
      <c r="U265" s="220">
        <f t="shared" si="77"/>
        <v>25.555555555555557</v>
      </c>
      <c r="V265" s="237">
        <f t="shared" si="85"/>
        <v>35642.916666666031</v>
      </c>
      <c r="W265" s="234">
        <v>78</v>
      </c>
      <c r="X265" s="234">
        <f t="shared" si="78"/>
        <v>25.555555555555557</v>
      </c>
      <c r="Y265" s="234">
        <v>71</v>
      </c>
      <c r="Z265" s="238">
        <f t="shared" si="79"/>
        <v>70.876254862833505</v>
      </c>
      <c r="AA265" s="238">
        <f t="shared" si="80"/>
        <v>21.597919368240856</v>
      </c>
      <c r="AB265" s="239">
        <f t="shared" si="81"/>
        <v>72.657191147125133</v>
      </c>
      <c r="AC265" s="239">
        <f t="shared" si="82"/>
        <v>22.587328415069535</v>
      </c>
      <c r="AD265" s="239">
        <f t="shared" si="86"/>
        <v>78</v>
      </c>
      <c r="AE265" s="239" t="b">
        <f t="shared" si="87"/>
        <v>0</v>
      </c>
      <c r="AF265" s="239">
        <f t="shared" si="76"/>
        <v>78</v>
      </c>
      <c r="AG265" s="239">
        <f t="shared" si="83"/>
        <v>25.555555555555557</v>
      </c>
      <c r="AH265" s="239">
        <f t="shared" si="84"/>
        <v>100</v>
      </c>
      <c r="AI265" s="238">
        <f t="shared" si="88"/>
        <v>77.459034679590403</v>
      </c>
      <c r="AJ265" s="238">
        <f t="shared" si="89"/>
        <v>71</v>
      </c>
      <c r="AK265" s="238">
        <f t="shared" si="90"/>
        <v>71</v>
      </c>
      <c r="AL265" s="238"/>
      <c r="AM265" s="240">
        <f t="shared" si="91"/>
        <v>2.497853632264644E-2</v>
      </c>
      <c r="AN265" s="238">
        <f t="shared" si="92"/>
        <v>25.74808944224862</v>
      </c>
      <c r="AO265" s="240">
        <f t="shared" si="93"/>
        <v>3.2247414941291554E-2</v>
      </c>
      <c r="AP265" s="238">
        <f t="shared" si="94"/>
        <v>32.666631335528344</v>
      </c>
    </row>
    <row r="266" spans="1:42" ht="22.2" x14ac:dyDescent="0.7">
      <c r="A266" s="118"/>
      <c r="B266" s="118"/>
      <c r="C266" s="118"/>
      <c r="D266" s="118"/>
      <c r="R266" s="220">
        <v>7</v>
      </c>
      <c r="S266" s="220">
        <v>31</v>
      </c>
      <c r="T266" s="220">
        <v>24</v>
      </c>
      <c r="U266" s="220">
        <f t="shared" si="77"/>
        <v>24.444444444444443</v>
      </c>
      <c r="V266" s="237">
        <f t="shared" si="85"/>
        <v>35642.958333332695</v>
      </c>
      <c r="W266" s="234">
        <v>76</v>
      </c>
      <c r="X266" s="234">
        <f t="shared" si="78"/>
        <v>24.444444444444443</v>
      </c>
      <c r="Y266" s="234">
        <v>79</v>
      </c>
      <c r="Z266" s="238">
        <f t="shared" si="79"/>
        <v>70.987817684410729</v>
      </c>
      <c r="AA266" s="238">
        <f t="shared" si="80"/>
        <v>21.659898713561535</v>
      </c>
      <c r="AB266" s="239">
        <f t="shared" si="81"/>
        <v>72.240863263308043</v>
      </c>
      <c r="AC266" s="239">
        <f t="shared" si="82"/>
        <v>22.356035146282267</v>
      </c>
      <c r="AD266" s="239">
        <f t="shared" si="86"/>
        <v>76</v>
      </c>
      <c r="AE266" s="239" t="b">
        <f t="shared" si="87"/>
        <v>0</v>
      </c>
      <c r="AF266" s="239">
        <f t="shared" si="76"/>
        <v>76</v>
      </c>
      <c r="AG266" s="239">
        <f t="shared" si="83"/>
        <v>24.444444444444443</v>
      </c>
      <c r="AH266" s="239">
        <f t="shared" si="84"/>
        <v>100</v>
      </c>
      <c r="AI266" s="238">
        <f t="shared" si="88"/>
        <v>83.500883672106283</v>
      </c>
      <c r="AJ266" s="238">
        <f t="shared" si="89"/>
        <v>79</v>
      </c>
      <c r="AK266" s="238">
        <f t="shared" si="90"/>
        <v>79</v>
      </c>
      <c r="AL266" s="238"/>
      <c r="AM266" s="240">
        <f t="shared" si="91"/>
        <v>2.5204774488968747E-2</v>
      </c>
      <c r="AN266" s="238">
        <f t="shared" si="92"/>
        <v>25.845682297174559</v>
      </c>
      <c r="AO266" s="240">
        <f t="shared" si="93"/>
        <v>3.0185039224187846E-2</v>
      </c>
      <c r="AP266" s="238">
        <f t="shared" si="94"/>
        <v>30.577444734102286</v>
      </c>
    </row>
    <row r="267" spans="1:42" ht="22.2" x14ac:dyDescent="0.7">
      <c r="AF267" s="239">
        <f>+AVERAGE(AF4:AF266)</f>
        <v>84.821292775665398</v>
      </c>
      <c r="AG267" s="239">
        <f t="shared" si="83"/>
        <v>29.34516265314744</v>
      </c>
      <c r="AH267" s="239">
        <f t="shared" si="84"/>
        <v>100</v>
      </c>
      <c r="AI267" s="238"/>
      <c r="AJ267" s="238"/>
      <c r="AK267" s="238">
        <f>+AVERAGE(AK4:AK266)</f>
        <v>71.870722433460074</v>
      </c>
      <c r="AL267" s="238"/>
      <c r="AM267" s="240"/>
      <c r="AN267" s="238"/>
      <c r="AO267" s="240"/>
      <c r="AP267" s="238"/>
    </row>
  </sheetData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9"/>
  <sheetViews>
    <sheetView zoomScale="75" zoomScaleNormal="75" workbookViewId="0"/>
  </sheetViews>
  <sheetFormatPr defaultColWidth="9.109375" defaultRowHeight="15" x14ac:dyDescent="0.5"/>
  <cols>
    <col min="1" max="1" width="9.6640625" style="12" bestFit="1" customWidth="1"/>
    <col min="2" max="2" width="10.44140625" style="124" bestFit="1" customWidth="1"/>
    <col min="3" max="3" width="9.109375" style="1"/>
    <col min="4" max="4" width="9.33203125" style="1" bestFit="1" customWidth="1"/>
    <col min="5" max="5" width="13.5546875" style="1" customWidth="1"/>
    <col min="6" max="6" width="11.6640625" style="3" bestFit="1" customWidth="1"/>
    <col min="7" max="7" width="17.109375" style="3" bestFit="1" customWidth="1"/>
    <col min="8" max="8" width="19.5546875" style="3" bestFit="1" customWidth="1"/>
    <col min="9" max="9" width="9.109375" style="3"/>
    <col min="10" max="10" width="9.88671875" style="3" bestFit="1" customWidth="1"/>
    <col min="11" max="11" width="11" style="3" bestFit="1" customWidth="1"/>
    <col min="12" max="12" width="15.109375" style="1" bestFit="1" customWidth="1"/>
    <col min="13" max="13" width="9.109375" style="3"/>
    <col min="14" max="14" width="11.109375" style="3" bestFit="1" customWidth="1"/>
    <col min="15" max="15" width="16.33203125" style="3" customWidth="1"/>
    <col min="16" max="16" width="14" style="3" bestFit="1" customWidth="1"/>
    <col min="17" max="16384" width="9.109375" style="3"/>
  </cols>
  <sheetData>
    <row r="1" spans="1:16" ht="15.3" thickBot="1" x14ac:dyDescent="0.55000000000000004">
      <c r="A1" s="6" t="s">
        <v>121</v>
      </c>
      <c r="D1" s="12" t="s">
        <v>122</v>
      </c>
      <c r="G1" s="125" t="s">
        <v>123</v>
      </c>
      <c r="J1" s="125" t="s">
        <v>124</v>
      </c>
      <c r="N1" s="125" t="s">
        <v>125</v>
      </c>
    </row>
    <row r="2" spans="1:16" x14ac:dyDescent="0.5">
      <c r="A2" s="126" t="s">
        <v>126</v>
      </c>
      <c r="B2" s="127" t="s">
        <v>127</v>
      </c>
      <c r="D2" s="126" t="s">
        <v>126</v>
      </c>
      <c r="E2" s="128" t="s">
        <v>127</v>
      </c>
      <c r="G2" s="126" t="s">
        <v>126</v>
      </c>
      <c r="H2" s="128" t="s">
        <v>127</v>
      </c>
      <c r="J2" s="129" t="s">
        <v>126</v>
      </c>
      <c r="K2" s="130" t="s">
        <v>127</v>
      </c>
      <c r="L2" s="128" t="s">
        <v>127</v>
      </c>
      <c r="N2" s="131" t="s">
        <v>126</v>
      </c>
      <c r="O2" s="132" t="s">
        <v>127</v>
      </c>
      <c r="P2" s="133"/>
    </row>
    <row r="3" spans="1:16" x14ac:dyDescent="0.5">
      <c r="A3" s="134" t="s">
        <v>128</v>
      </c>
      <c r="B3" s="135"/>
      <c r="D3" s="134" t="s">
        <v>129</v>
      </c>
      <c r="E3" s="136"/>
      <c r="G3" s="137" t="s">
        <v>130</v>
      </c>
      <c r="H3" s="138" t="s">
        <v>131</v>
      </c>
      <c r="J3" s="139">
        <v>1</v>
      </c>
      <c r="K3" s="140">
        <f>+J3*(0.305*0.305*0.305)*60</f>
        <v>1.7023575</v>
      </c>
      <c r="L3" s="141">
        <f>+K3/(60*60)</f>
        <v>4.7287708333333331E-4</v>
      </c>
      <c r="N3" s="142">
        <v>1</v>
      </c>
      <c r="O3" s="143">
        <f t="shared" ref="O3:O22" si="0">+N3*0.00508</f>
        <v>5.0800000000000003E-3</v>
      </c>
      <c r="P3" s="144">
        <f>+O3/1000*60*60</f>
        <v>1.8288000000000002E-2</v>
      </c>
    </row>
    <row r="4" spans="1:16" x14ac:dyDescent="0.5">
      <c r="A4" s="145">
        <v>32</v>
      </c>
      <c r="B4" s="146">
        <f>+(+A4-32)*5/9</f>
        <v>0</v>
      </c>
      <c r="D4" s="147">
        <v>1</v>
      </c>
      <c r="E4" s="148">
        <f>+D4/12*0.305*100</f>
        <v>2.5416666666666665</v>
      </c>
      <c r="G4" s="149">
        <v>0.4</v>
      </c>
      <c r="H4" s="135">
        <f t="shared" ref="H4:H16" si="1">+(1/G4)/(0.305*0.305)</f>
        <v>26.874496103198066</v>
      </c>
      <c r="J4" s="150">
        <v>600</v>
      </c>
      <c r="K4" s="151">
        <f t="shared" ref="K4:K39" si="2">+J4*(0.305*0.305*0.305)*60</f>
        <v>1021.4144999999999</v>
      </c>
      <c r="L4" s="152">
        <f>+K4/(60*60)</f>
        <v>0.28372624999999996</v>
      </c>
      <c r="N4" s="137">
        <v>100</v>
      </c>
      <c r="O4" s="153">
        <f t="shared" si="0"/>
        <v>0.50800000000000001</v>
      </c>
      <c r="P4" s="152">
        <f>+O4/1000*60*60</f>
        <v>1.8288</v>
      </c>
    </row>
    <row r="5" spans="1:16" x14ac:dyDescent="0.5">
      <c r="A5" s="145">
        <f>+A4+2</f>
        <v>34</v>
      </c>
      <c r="B5" s="146">
        <f t="shared" ref="B5:B39" si="3">+(+A5-32)*5/9</f>
        <v>1.1111111111111112</v>
      </c>
      <c r="D5" s="147">
        <v>2</v>
      </c>
      <c r="E5" s="148">
        <f t="shared" ref="E5:E11" si="4">+D5/12*0.305*100</f>
        <v>5.083333333333333</v>
      </c>
      <c r="G5" s="149">
        <f t="shared" ref="G5:G16" si="5">+G4+0.05</f>
        <v>0.45</v>
      </c>
      <c r="H5" s="135">
        <f t="shared" si="1"/>
        <v>23.888440980620505</v>
      </c>
      <c r="J5" s="150">
        <v>50</v>
      </c>
      <c r="K5" s="154">
        <f t="shared" si="2"/>
        <v>85.117874999999998</v>
      </c>
      <c r="L5" s="152">
        <f t="shared" ref="L5:L39" si="6">+K5/(60*60)</f>
        <v>2.3643854166666665E-2</v>
      </c>
      <c r="N5" s="137">
        <f>+N4+50</f>
        <v>150</v>
      </c>
      <c r="O5" s="153">
        <f t="shared" si="0"/>
        <v>0.76200000000000001</v>
      </c>
      <c r="P5" s="152">
        <f t="shared" ref="P5:P22" si="7">+O5/1000*60*60</f>
        <v>2.7431999999999999</v>
      </c>
    </row>
    <row r="6" spans="1:16" x14ac:dyDescent="0.5">
      <c r="A6" s="145">
        <f t="shared" ref="A6:A39" si="8">+A5+2</f>
        <v>36</v>
      </c>
      <c r="B6" s="146">
        <f t="shared" si="3"/>
        <v>2.2222222222222223</v>
      </c>
      <c r="D6" s="147">
        <v>3</v>
      </c>
      <c r="E6" s="148">
        <f t="shared" si="4"/>
        <v>7.625</v>
      </c>
      <c r="G6" s="149">
        <f t="shared" si="5"/>
        <v>0.5</v>
      </c>
      <c r="H6" s="135">
        <f t="shared" si="1"/>
        <v>21.499596882558453</v>
      </c>
      <c r="J6" s="150">
        <v>1200</v>
      </c>
      <c r="K6" s="154">
        <f t="shared" si="2"/>
        <v>2042.8289999999997</v>
      </c>
      <c r="L6" s="152">
        <f t="shared" si="6"/>
        <v>0.56745249999999992</v>
      </c>
      <c r="N6" s="137">
        <f t="shared" ref="N6:N22" si="9">+N5+50</f>
        <v>200</v>
      </c>
      <c r="O6" s="153">
        <f t="shared" si="0"/>
        <v>1.016</v>
      </c>
      <c r="P6" s="152">
        <f t="shared" si="7"/>
        <v>3.6576</v>
      </c>
    </row>
    <row r="7" spans="1:16" x14ac:dyDescent="0.5">
      <c r="A7" s="145">
        <f t="shared" si="8"/>
        <v>38</v>
      </c>
      <c r="B7" s="146">
        <f t="shared" si="3"/>
        <v>3.3333333333333335</v>
      </c>
      <c r="D7" s="147">
        <v>4</v>
      </c>
      <c r="E7" s="148">
        <f t="shared" si="4"/>
        <v>10.166666666666666</v>
      </c>
      <c r="G7" s="149">
        <f t="shared" si="5"/>
        <v>0.55000000000000004</v>
      </c>
      <c r="H7" s="135">
        <f t="shared" si="1"/>
        <v>19.545088075053137</v>
      </c>
      <c r="J7" s="150">
        <f>+J6+1000</f>
        <v>2200</v>
      </c>
      <c r="K7" s="154">
        <f t="shared" si="2"/>
        <v>3745.1864999999998</v>
      </c>
      <c r="L7" s="135">
        <f t="shared" si="6"/>
        <v>1.0403295833333333</v>
      </c>
      <c r="N7" s="137">
        <f t="shared" si="9"/>
        <v>250</v>
      </c>
      <c r="O7" s="153">
        <f t="shared" si="0"/>
        <v>1.27</v>
      </c>
      <c r="P7" s="152">
        <f t="shared" si="7"/>
        <v>4.5720000000000001</v>
      </c>
    </row>
    <row r="8" spans="1:16" x14ac:dyDescent="0.5">
      <c r="A8" s="145">
        <f t="shared" si="8"/>
        <v>40</v>
      </c>
      <c r="B8" s="146">
        <f t="shared" si="3"/>
        <v>4.4444444444444446</v>
      </c>
      <c r="D8" s="147">
        <v>5</v>
      </c>
      <c r="E8" s="148">
        <f t="shared" si="4"/>
        <v>12.708333333333332</v>
      </c>
      <c r="G8" s="149">
        <f t="shared" si="5"/>
        <v>0.60000000000000009</v>
      </c>
      <c r="H8" s="135">
        <f t="shared" si="1"/>
        <v>17.916330735465376</v>
      </c>
      <c r="J8" s="150">
        <f t="shared" ref="J8:J13" si="10">+J7+1000</f>
        <v>3200</v>
      </c>
      <c r="K8" s="154">
        <f t="shared" si="2"/>
        <v>5447.5439999999999</v>
      </c>
      <c r="L8" s="135">
        <f t="shared" si="6"/>
        <v>1.5132066666666666</v>
      </c>
      <c r="N8" s="137">
        <f t="shared" si="9"/>
        <v>300</v>
      </c>
      <c r="O8" s="153">
        <f t="shared" si="0"/>
        <v>1.524</v>
      </c>
      <c r="P8" s="152">
        <f t="shared" si="7"/>
        <v>5.4863999999999997</v>
      </c>
    </row>
    <row r="9" spans="1:16" x14ac:dyDescent="0.5">
      <c r="A9" s="145">
        <f t="shared" si="8"/>
        <v>42</v>
      </c>
      <c r="B9" s="146">
        <f t="shared" si="3"/>
        <v>5.5555555555555554</v>
      </c>
      <c r="D9" s="147">
        <v>6</v>
      </c>
      <c r="E9" s="148">
        <f t="shared" si="4"/>
        <v>15.25</v>
      </c>
      <c r="G9" s="149">
        <f t="shared" si="5"/>
        <v>0.65000000000000013</v>
      </c>
      <c r="H9" s="135">
        <f t="shared" si="1"/>
        <v>16.538151448121884</v>
      </c>
      <c r="J9" s="150">
        <f t="shared" si="10"/>
        <v>4200</v>
      </c>
      <c r="K9" s="154">
        <f t="shared" si="2"/>
        <v>7149.9014999999999</v>
      </c>
      <c r="L9" s="135">
        <f t="shared" si="6"/>
        <v>1.9860837499999999</v>
      </c>
      <c r="N9" s="137">
        <f t="shared" si="9"/>
        <v>350</v>
      </c>
      <c r="O9" s="153">
        <f t="shared" si="0"/>
        <v>1.778</v>
      </c>
      <c r="P9" s="152">
        <f t="shared" si="7"/>
        <v>6.4008000000000003</v>
      </c>
    </row>
    <row r="10" spans="1:16" x14ac:dyDescent="0.5">
      <c r="A10" s="145">
        <f t="shared" si="8"/>
        <v>44</v>
      </c>
      <c r="B10" s="146">
        <f t="shared" si="3"/>
        <v>6.666666666666667</v>
      </c>
      <c r="D10" s="147">
        <v>8</v>
      </c>
      <c r="E10" s="148">
        <f t="shared" si="4"/>
        <v>20.333333333333332</v>
      </c>
      <c r="G10" s="149">
        <f t="shared" si="5"/>
        <v>0.70000000000000018</v>
      </c>
      <c r="H10" s="135">
        <f t="shared" si="1"/>
        <v>15.356854916113177</v>
      </c>
      <c r="J10" s="150">
        <f t="shared" si="10"/>
        <v>5200</v>
      </c>
      <c r="K10" s="154">
        <f t="shared" si="2"/>
        <v>8852.2589999999982</v>
      </c>
      <c r="L10" s="135">
        <f t="shared" si="6"/>
        <v>2.4589608333333328</v>
      </c>
      <c r="N10" s="137">
        <f t="shared" si="9"/>
        <v>400</v>
      </c>
      <c r="O10" s="153">
        <f t="shared" si="0"/>
        <v>2.032</v>
      </c>
      <c r="P10" s="152">
        <f t="shared" si="7"/>
        <v>7.3151999999999999</v>
      </c>
    </row>
    <row r="11" spans="1:16" x14ac:dyDescent="0.5">
      <c r="A11" s="145">
        <f t="shared" si="8"/>
        <v>46</v>
      </c>
      <c r="B11" s="146">
        <f t="shared" si="3"/>
        <v>7.7777777777777777</v>
      </c>
      <c r="D11" s="147">
        <v>10</v>
      </c>
      <c r="E11" s="148">
        <f t="shared" si="4"/>
        <v>25.416666666666664</v>
      </c>
      <c r="G11" s="149">
        <f t="shared" si="5"/>
        <v>0.75000000000000022</v>
      </c>
      <c r="H11" s="135">
        <f t="shared" si="1"/>
        <v>14.333064588372299</v>
      </c>
      <c r="J11" s="150">
        <f>+J10+1000</f>
        <v>6200</v>
      </c>
      <c r="K11" s="154">
        <f t="shared" si="2"/>
        <v>10554.616499999998</v>
      </c>
      <c r="L11" s="135">
        <f t="shared" si="6"/>
        <v>2.9318379166666664</v>
      </c>
      <c r="N11" s="137">
        <f t="shared" si="9"/>
        <v>450</v>
      </c>
      <c r="O11" s="153">
        <f t="shared" si="0"/>
        <v>2.286</v>
      </c>
      <c r="P11" s="152">
        <f t="shared" si="7"/>
        <v>8.2295999999999996</v>
      </c>
    </row>
    <row r="12" spans="1:16" x14ac:dyDescent="0.5">
      <c r="A12" s="145">
        <f t="shared" si="8"/>
        <v>48</v>
      </c>
      <c r="B12" s="146">
        <f t="shared" si="3"/>
        <v>8.8888888888888893</v>
      </c>
      <c r="D12" s="155">
        <v>1</v>
      </c>
      <c r="E12" s="156">
        <f t="shared" ref="E12:E39" si="11">+D12*0.305</f>
        <v>0.30499999999999999</v>
      </c>
      <c r="G12" s="149">
        <f t="shared" si="5"/>
        <v>0.80000000000000027</v>
      </c>
      <c r="H12" s="135">
        <f t="shared" si="1"/>
        <v>13.437248051599028</v>
      </c>
      <c r="J12" s="150">
        <f t="shared" si="10"/>
        <v>7200</v>
      </c>
      <c r="K12" s="154">
        <f t="shared" si="2"/>
        <v>12256.973999999998</v>
      </c>
      <c r="L12" s="135">
        <f t="shared" si="6"/>
        <v>3.4047149999999995</v>
      </c>
      <c r="N12" s="137">
        <f t="shared" si="9"/>
        <v>500</v>
      </c>
      <c r="O12" s="153">
        <f t="shared" si="0"/>
        <v>2.54</v>
      </c>
      <c r="P12" s="152">
        <f t="shared" si="7"/>
        <v>9.1440000000000001</v>
      </c>
    </row>
    <row r="13" spans="1:16" x14ac:dyDescent="0.5">
      <c r="A13" s="145">
        <f t="shared" si="8"/>
        <v>50</v>
      </c>
      <c r="B13" s="146">
        <f t="shared" si="3"/>
        <v>10</v>
      </c>
      <c r="D13" s="155">
        <f t="shared" ref="D13:D20" si="12">+D12+1</f>
        <v>2</v>
      </c>
      <c r="E13" s="156">
        <f t="shared" si="11"/>
        <v>0.61</v>
      </c>
      <c r="G13" s="149">
        <f t="shared" si="5"/>
        <v>0.85000000000000031</v>
      </c>
      <c r="H13" s="135">
        <f t="shared" si="1"/>
        <v>12.646821695622615</v>
      </c>
      <c r="J13" s="150">
        <f t="shared" si="10"/>
        <v>8200</v>
      </c>
      <c r="K13" s="154">
        <f t="shared" si="2"/>
        <v>13959.331499999998</v>
      </c>
      <c r="L13" s="135">
        <f t="shared" si="6"/>
        <v>3.8775920833333331</v>
      </c>
      <c r="N13" s="137">
        <f t="shared" si="9"/>
        <v>550</v>
      </c>
      <c r="O13" s="153">
        <f t="shared" si="0"/>
        <v>2.794</v>
      </c>
      <c r="P13" s="152">
        <f t="shared" si="7"/>
        <v>10.058400000000001</v>
      </c>
    </row>
    <row r="14" spans="1:16" x14ac:dyDescent="0.5">
      <c r="A14" s="145">
        <f t="shared" si="8"/>
        <v>52</v>
      </c>
      <c r="B14" s="146">
        <f t="shared" si="3"/>
        <v>11.111111111111111</v>
      </c>
      <c r="D14" s="155">
        <f t="shared" si="12"/>
        <v>3</v>
      </c>
      <c r="E14" s="156">
        <f t="shared" si="11"/>
        <v>0.91500000000000004</v>
      </c>
      <c r="G14" s="149">
        <f t="shared" si="5"/>
        <v>0.90000000000000036</v>
      </c>
      <c r="H14" s="135">
        <f t="shared" si="1"/>
        <v>11.944220490310247</v>
      </c>
      <c r="J14" s="150">
        <f>+J13+1000</f>
        <v>9200</v>
      </c>
      <c r="K14" s="154">
        <f t="shared" si="2"/>
        <v>15661.688999999998</v>
      </c>
      <c r="L14" s="135">
        <f t="shared" si="6"/>
        <v>4.3504691666666666</v>
      </c>
      <c r="N14" s="137">
        <f>+N13+50</f>
        <v>600</v>
      </c>
      <c r="O14" s="153">
        <f t="shared" si="0"/>
        <v>3.048</v>
      </c>
      <c r="P14" s="152">
        <f t="shared" si="7"/>
        <v>10.972799999999999</v>
      </c>
    </row>
    <row r="15" spans="1:16" x14ac:dyDescent="0.5">
      <c r="A15" s="145">
        <f t="shared" si="8"/>
        <v>54</v>
      </c>
      <c r="B15" s="146">
        <f t="shared" si="3"/>
        <v>12.222222222222221</v>
      </c>
      <c r="D15" s="155">
        <f t="shared" si="12"/>
        <v>4</v>
      </c>
      <c r="E15" s="156">
        <f t="shared" si="11"/>
        <v>1.22</v>
      </c>
      <c r="G15" s="149">
        <f t="shared" si="5"/>
        <v>0.9500000000000004</v>
      </c>
      <c r="H15" s="135">
        <f t="shared" si="1"/>
        <v>11.315577306609706</v>
      </c>
      <c r="J15" s="150">
        <f t="shared" ref="J15:J20" si="13">+J14+5000</f>
        <v>14200</v>
      </c>
      <c r="K15" s="154">
        <f t="shared" si="2"/>
        <v>24173.476500000001</v>
      </c>
      <c r="L15" s="135">
        <f t="shared" si="6"/>
        <v>6.7148545833333335</v>
      </c>
      <c r="N15" s="137">
        <f t="shared" si="9"/>
        <v>650</v>
      </c>
      <c r="O15" s="153">
        <f t="shared" si="0"/>
        <v>3.302</v>
      </c>
      <c r="P15" s="152">
        <f t="shared" si="7"/>
        <v>11.887200000000002</v>
      </c>
    </row>
    <row r="16" spans="1:16" ht="15.3" thickBot="1" x14ac:dyDescent="0.55000000000000004">
      <c r="A16" s="145">
        <f t="shared" si="8"/>
        <v>56</v>
      </c>
      <c r="B16" s="146">
        <f t="shared" si="3"/>
        <v>13.333333333333334</v>
      </c>
      <c r="D16" s="155">
        <f t="shared" si="12"/>
        <v>5</v>
      </c>
      <c r="E16" s="156">
        <f t="shared" si="11"/>
        <v>1.5249999999999999</v>
      </c>
      <c r="G16" s="157">
        <f t="shared" si="5"/>
        <v>1.0000000000000004</v>
      </c>
      <c r="H16" s="158">
        <f t="shared" si="1"/>
        <v>10.749798441279221</v>
      </c>
      <c r="J16" s="150">
        <f t="shared" si="13"/>
        <v>19200</v>
      </c>
      <c r="K16" s="154">
        <f t="shared" si="2"/>
        <v>32685.263999999996</v>
      </c>
      <c r="L16" s="135">
        <f t="shared" si="6"/>
        <v>9.0792399999999986</v>
      </c>
      <c r="N16" s="137">
        <f t="shared" si="9"/>
        <v>700</v>
      </c>
      <c r="O16" s="153">
        <f t="shared" si="0"/>
        <v>3.556</v>
      </c>
      <c r="P16" s="152">
        <f t="shared" si="7"/>
        <v>12.801600000000001</v>
      </c>
    </row>
    <row r="17" spans="1:16" x14ac:dyDescent="0.5">
      <c r="A17" s="145">
        <f t="shared" si="8"/>
        <v>58</v>
      </c>
      <c r="B17" s="146">
        <f t="shared" si="3"/>
        <v>14.444444444444445</v>
      </c>
      <c r="D17" s="155">
        <f t="shared" si="12"/>
        <v>6</v>
      </c>
      <c r="E17" s="156">
        <f t="shared" si="11"/>
        <v>1.83</v>
      </c>
      <c r="J17" s="150">
        <f t="shared" si="13"/>
        <v>24200</v>
      </c>
      <c r="K17" s="154">
        <f t="shared" si="2"/>
        <v>41197.051500000001</v>
      </c>
      <c r="L17" s="135">
        <f t="shared" si="6"/>
        <v>11.443625416666666</v>
      </c>
      <c r="N17" s="137">
        <f t="shared" si="9"/>
        <v>750</v>
      </c>
      <c r="O17" s="153">
        <f t="shared" si="0"/>
        <v>3.81</v>
      </c>
      <c r="P17" s="152">
        <f t="shared" si="7"/>
        <v>13.715999999999999</v>
      </c>
    </row>
    <row r="18" spans="1:16" ht="15.3" thickBot="1" x14ac:dyDescent="0.55000000000000004">
      <c r="A18" s="145">
        <f t="shared" si="8"/>
        <v>60</v>
      </c>
      <c r="B18" s="146">
        <f t="shared" si="3"/>
        <v>15.555555555555555</v>
      </c>
      <c r="D18" s="155">
        <f t="shared" si="12"/>
        <v>7</v>
      </c>
      <c r="E18" s="156">
        <f t="shared" si="11"/>
        <v>2.1349999999999998</v>
      </c>
      <c r="G18" s="125" t="s">
        <v>132</v>
      </c>
      <c r="J18" s="150">
        <f t="shared" si="13"/>
        <v>29200</v>
      </c>
      <c r="K18" s="154">
        <f t="shared" si="2"/>
        <v>49708.839</v>
      </c>
      <c r="L18" s="135">
        <f t="shared" si="6"/>
        <v>13.808010833333332</v>
      </c>
      <c r="N18" s="137">
        <f t="shared" si="9"/>
        <v>800</v>
      </c>
      <c r="O18" s="153">
        <f t="shared" si="0"/>
        <v>4.0640000000000001</v>
      </c>
      <c r="P18" s="152">
        <f t="shared" si="7"/>
        <v>14.6304</v>
      </c>
    </row>
    <row r="19" spans="1:16" x14ac:dyDescent="0.5">
      <c r="A19" s="145">
        <f t="shared" si="8"/>
        <v>62</v>
      </c>
      <c r="B19" s="146">
        <f t="shared" si="3"/>
        <v>16.666666666666668</v>
      </c>
      <c r="D19" s="155">
        <f t="shared" si="12"/>
        <v>8</v>
      </c>
      <c r="E19" s="156">
        <f t="shared" si="11"/>
        <v>2.44</v>
      </c>
      <c r="G19" s="126" t="s">
        <v>126</v>
      </c>
      <c r="H19" s="128" t="s">
        <v>127</v>
      </c>
      <c r="J19" s="150">
        <f t="shared" si="13"/>
        <v>34200</v>
      </c>
      <c r="K19" s="154">
        <f t="shared" si="2"/>
        <v>58220.626499999998</v>
      </c>
      <c r="L19" s="135">
        <f t="shared" si="6"/>
        <v>16.172396249999998</v>
      </c>
      <c r="N19" s="137">
        <f t="shared" si="9"/>
        <v>850</v>
      </c>
      <c r="O19" s="153">
        <f t="shared" si="0"/>
        <v>4.3180000000000005</v>
      </c>
      <c r="P19" s="152">
        <f t="shared" si="7"/>
        <v>15.544800000000002</v>
      </c>
    </row>
    <row r="20" spans="1:16" x14ac:dyDescent="0.5">
      <c r="A20" s="145">
        <f t="shared" si="8"/>
        <v>64</v>
      </c>
      <c r="B20" s="146">
        <f>+(+A20-32)*5/9</f>
        <v>17.777777777777779</v>
      </c>
      <c r="D20" s="155">
        <f t="shared" si="12"/>
        <v>9</v>
      </c>
      <c r="E20" s="156">
        <f t="shared" si="11"/>
        <v>2.7450000000000001</v>
      </c>
      <c r="G20" s="159">
        <v>1</v>
      </c>
      <c r="H20" s="160">
        <f>+G20*0.176</f>
        <v>0.17599999999999999</v>
      </c>
      <c r="J20" s="150">
        <f t="shared" si="13"/>
        <v>39200</v>
      </c>
      <c r="K20" s="154">
        <f t="shared" si="2"/>
        <v>66732.41399999999</v>
      </c>
      <c r="L20" s="135">
        <f t="shared" si="6"/>
        <v>18.536781666666663</v>
      </c>
      <c r="N20" s="137">
        <f t="shared" si="9"/>
        <v>900</v>
      </c>
      <c r="O20" s="153">
        <f t="shared" si="0"/>
        <v>4.5720000000000001</v>
      </c>
      <c r="P20" s="152">
        <f t="shared" si="7"/>
        <v>16.459199999999999</v>
      </c>
    </row>
    <row r="21" spans="1:16" x14ac:dyDescent="0.5">
      <c r="A21" s="145">
        <f t="shared" si="8"/>
        <v>66</v>
      </c>
      <c r="B21" s="146">
        <f t="shared" si="3"/>
        <v>18.888888888888889</v>
      </c>
      <c r="D21" s="155">
        <v>10</v>
      </c>
      <c r="E21" s="156">
        <f t="shared" si="11"/>
        <v>3.05</v>
      </c>
      <c r="G21" s="137">
        <f>+G20+1</f>
        <v>2</v>
      </c>
      <c r="H21" s="161">
        <f t="shared" ref="H21:H39" si="14">+G21*0.176</f>
        <v>0.35199999999999998</v>
      </c>
      <c r="J21" s="150">
        <f>+J20+10000</f>
        <v>49200</v>
      </c>
      <c r="K21" s="154">
        <f t="shared" si="2"/>
        <v>83755.988999999987</v>
      </c>
      <c r="L21" s="135">
        <f t="shared" si="6"/>
        <v>23.265552499999995</v>
      </c>
      <c r="N21" s="137">
        <f t="shared" si="9"/>
        <v>950</v>
      </c>
      <c r="O21" s="153">
        <f t="shared" si="0"/>
        <v>4.8260000000000005</v>
      </c>
      <c r="P21" s="152">
        <f t="shared" si="7"/>
        <v>17.373600000000003</v>
      </c>
    </row>
    <row r="22" spans="1:16" ht="15.3" thickBot="1" x14ac:dyDescent="0.55000000000000004">
      <c r="A22" s="145">
        <f t="shared" si="8"/>
        <v>68</v>
      </c>
      <c r="B22" s="146">
        <f t="shared" si="3"/>
        <v>20</v>
      </c>
      <c r="D22" s="155">
        <f>+D21+5</f>
        <v>15</v>
      </c>
      <c r="E22" s="156">
        <f t="shared" si="11"/>
        <v>4.5750000000000002</v>
      </c>
      <c r="G22" s="137">
        <f t="shared" ref="G22:G39" si="15">+G21+1</f>
        <v>3</v>
      </c>
      <c r="H22" s="161">
        <f t="shared" si="14"/>
        <v>0.52800000000000002</v>
      </c>
      <c r="J22" s="150">
        <f t="shared" ref="J22:J39" si="16">+J21+10000</f>
        <v>59200</v>
      </c>
      <c r="K22" s="154">
        <f t="shared" si="2"/>
        <v>100779.564</v>
      </c>
      <c r="L22" s="135">
        <f t="shared" si="6"/>
        <v>27.994323333333334</v>
      </c>
      <c r="N22" s="162">
        <f t="shared" si="9"/>
        <v>1000</v>
      </c>
      <c r="O22" s="163">
        <f t="shared" si="0"/>
        <v>5.08</v>
      </c>
      <c r="P22" s="164">
        <f t="shared" si="7"/>
        <v>18.288</v>
      </c>
    </row>
    <row r="23" spans="1:16" x14ac:dyDescent="0.5">
      <c r="A23" s="145">
        <f t="shared" si="8"/>
        <v>70</v>
      </c>
      <c r="B23" s="146">
        <f t="shared" si="3"/>
        <v>21.111111111111111</v>
      </c>
      <c r="D23" s="155">
        <f t="shared" ref="D23:D29" si="17">+D22+5</f>
        <v>20</v>
      </c>
      <c r="E23" s="156">
        <f t="shared" si="11"/>
        <v>6.1</v>
      </c>
      <c r="G23" s="137">
        <f t="shared" si="15"/>
        <v>4</v>
      </c>
      <c r="H23" s="161">
        <f t="shared" si="14"/>
        <v>0.70399999999999996</v>
      </c>
      <c r="J23" s="150">
        <f t="shared" si="16"/>
        <v>69200</v>
      </c>
      <c r="K23" s="154">
        <f t="shared" si="2"/>
        <v>117803.139</v>
      </c>
      <c r="L23" s="135">
        <f t="shared" si="6"/>
        <v>32.723094166666662</v>
      </c>
    </row>
    <row r="24" spans="1:16" ht="15.3" thickBot="1" x14ac:dyDescent="0.55000000000000004">
      <c r="A24" s="145">
        <f t="shared" si="8"/>
        <v>72</v>
      </c>
      <c r="B24" s="146">
        <f t="shared" si="3"/>
        <v>22.222222222222221</v>
      </c>
      <c r="D24" s="155">
        <f t="shared" si="17"/>
        <v>25</v>
      </c>
      <c r="E24" s="156">
        <f t="shared" si="11"/>
        <v>7.625</v>
      </c>
      <c r="G24" s="137">
        <f t="shared" si="15"/>
        <v>5</v>
      </c>
      <c r="H24" s="161">
        <f t="shared" si="14"/>
        <v>0.87999999999999989</v>
      </c>
      <c r="J24" s="150">
        <f t="shared" si="16"/>
        <v>79200</v>
      </c>
      <c r="K24" s="154">
        <f t="shared" si="2"/>
        <v>134826.71399999998</v>
      </c>
      <c r="L24" s="135">
        <f t="shared" si="6"/>
        <v>37.451864999999991</v>
      </c>
      <c r="N24" s="12" t="s">
        <v>124</v>
      </c>
      <c r="O24" s="12"/>
    </row>
    <row r="25" spans="1:16" x14ac:dyDescent="0.5">
      <c r="A25" s="145">
        <f t="shared" si="8"/>
        <v>74</v>
      </c>
      <c r="B25" s="146">
        <f t="shared" si="3"/>
        <v>23.333333333333332</v>
      </c>
      <c r="D25" s="155">
        <f t="shared" si="17"/>
        <v>30</v>
      </c>
      <c r="E25" s="156">
        <f t="shared" si="11"/>
        <v>9.15</v>
      </c>
      <c r="G25" s="137">
        <f t="shared" si="15"/>
        <v>6</v>
      </c>
      <c r="H25" s="161">
        <f t="shared" si="14"/>
        <v>1.056</v>
      </c>
      <c r="J25" s="150">
        <f t="shared" si="16"/>
        <v>89200</v>
      </c>
      <c r="K25" s="154">
        <f t="shared" si="2"/>
        <v>151850.28899999999</v>
      </c>
      <c r="L25" s="135">
        <f t="shared" si="6"/>
        <v>42.180635833333334</v>
      </c>
      <c r="N25" s="126" t="s">
        <v>126</v>
      </c>
      <c r="O25" s="128" t="s">
        <v>127</v>
      </c>
    </row>
    <row r="26" spans="1:16" x14ac:dyDescent="0.5">
      <c r="A26" s="145">
        <f t="shared" si="8"/>
        <v>76</v>
      </c>
      <c r="B26" s="146">
        <f t="shared" si="3"/>
        <v>24.444444444444443</v>
      </c>
      <c r="D26" s="155">
        <f t="shared" si="17"/>
        <v>35</v>
      </c>
      <c r="E26" s="156">
        <f t="shared" si="11"/>
        <v>10.674999999999999</v>
      </c>
      <c r="G26" s="137">
        <f t="shared" si="15"/>
        <v>7</v>
      </c>
      <c r="H26" s="161">
        <f t="shared" si="14"/>
        <v>1.232</v>
      </c>
      <c r="J26" s="150">
        <f t="shared" si="16"/>
        <v>99200</v>
      </c>
      <c r="K26" s="154">
        <f t="shared" si="2"/>
        <v>168873.86399999997</v>
      </c>
      <c r="L26" s="135">
        <f t="shared" si="6"/>
        <v>46.909406666666662</v>
      </c>
      <c r="N26" s="165">
        <v>1</v>
      </c>
      <c r="O26" s="166">
        <f>+N26*3.79</f>
        <v>3.79</v>
      </c>
    </row>
    <row r="27" spans="1:16" x14ac:dyDescent="0.5">
      <c r="A27" s="145">
        <f t="shared" si="8"/>
        <v>78</v>
      </c>
      <c r="B27" s="146">
        <f t="shared" si="3"/>
        <v>25.555555555555557</v>
      </c>
      <c r="D27" s="155">
        <f t="shared" si="17"/>
        <v>40</v>
      </c>
      <c r="E27" s="156">
        <f t="shared" si="11"/>
        <v>12.2</v>
      </c>
      <c r="G27" s="137">
        <f t="shared" si="15"/>
        <v>8</v>
      </c>
      <c r="H27" s="161">
        <f t="shared" si="14"/>
        <v>1.4079999999999999</v>
      </c>
      <c r="J27" s="150">
        <f t="shared" si="16"/>
        <v>109200</v>
      </c>
      <c r="K27" s="154">
        <f t="shared" si="2"/>
        <v>185897.43899999998</v>
      </c>
      <c r="L27" s="135">
        <f t="shared" si="6"/>
        <v>51.638177499999998</v>
      </c>
      <c r="N27" s="137">
        <f>+N26+1</f>
        <v>2</v>
      </c>
      <c r="O27" s="138">
        <f t="shared" ref="O27:O35" si="18">+N27*3.79</f>
        <v>7.58</v>
      </c>
    </row>
    <row r="28" spans="1:16" x14ac:dyDescent="0.5">
      <c r="A28" s="145">
        <f t="shared" si="8"/>
        <v>80</v>
      </c>
      <c r="B28" s="146">
        <f t="shared" si="3"/>
        <v>26.666666666666668</v>
      </c>
      <c r="D28" s="155">
        <f t="shared" si="17"/>
        <v>45</v>
      </c>
      <c r="E28" s="156">
        <f t="shared" si="11"/>
        <v>13.725</v>
      </c>
      <c r="G28" s="137">
        <f t="shared" si="15"/>
        <v>9</v>
      </c>
      <c r="H28" s="161">
        <f t="shared" si="14"/>
        <v>1.5839999999999999</v>
      </c>
      <c r="J28" s="150">
        <f t="shared" si="16"/>
        <v>119200</v>
      </c>
      <c r="K28" s="154">
        <f t="shared" si="2"/>
        <v>202921.01399999997</v>
      </c>
      <c r="L28" s="135">
        <f t="shared" si="6"/>
        <v>56.366948333333326</v>
      </c>
      <c r="N28" s="137">
        <f t="shared" ref="N28:N35" si="19">+N27+1</f>
        <v>3</v>
      </c>
      <c r="O28" s="138">
        <f t="shared" si="18"/>
        <v>11.370000000000001</v>
      </c>
    </row>
    <row r="29" spans="1:16" x14ac:dyDescent="0.5">
      <c r="A29" s="145">
        <f t="shared" si="8"/>
        <v>82</v>
      </c>
      <c r="B29" s="146">
        <f t="shared" si="3"/>
        <v>27.777777777777779</v>
      </c>
      <c r="D29" s="155">
        <f t="shared" si="17"/>
        <v>50</v>
      </c>
      <c r="E29" s="156">
        <f t="shared" si="11"/>
        <v>15.25</v>
      </c>
      <c r="G29" s="137">
        <f t="shared" si="15"/>
        <v>10</v>
      </c>
      <c r="H29" s="161">
        <f t="shared" si="14"/>
        <v>1.7599999999999998</v>
      </c>
      <c r="J29" s="150">
        <f t="shared" si="16"/>
        <v>129200</v>
      </c>
      <c r="K29" s="154">
        <f t="shared" si="2"/>
        <v>219944.58899999998</v>
      </c>
      <c r="L29" s="135">
        <f t="shared" si="6"/>
        <v>61.095719166666662</v>
      </c>
      <c r="N29" s="137">
        <f t="shared" si="19"/>
        <v>4</v>
      </c>
      <c r="O29" s="138">
        <f t="shared" si="18"/>
        <v>15.16</v>
      </c>
    </row>
    <row r="30" spans="1:16" x14ac:dyDescent="0.5">
      <c r="A30" s="145">
        <f t="shared" si="8"/>
        <v>84</v>
      </c>
      <c r="B30" s="146">
        <f t="shared" si="3"/>
        <v>28.888888888888889</v>
      </c>
      <c r="D30" s="155">
        <v>50</v>
      </c>
      <c r="E30" s="156">
        <f t="shared" si="11"/>
        <v>15.25</v>
      </c>
      <c r="G30" s="137">
        <f t="shared" si="15"/>
        <v>11</v>
      </c>
      <c r="H30" s="161">
        <f t="shared" si="14"/>
        <v>1.9359999999999999</v>
      </c>
      <c r="J30" s="150">
        <f t="shared" si="16"/>
        <v>139200</v>
      </c>
      <c r="K30" s="154">
        <f t="shared" si="2"/>
        <v>236968.16399999999</v>
      </c>
      <c r="L30" s="135">
        <f t="shared" si="6"/>
        <v>65.824489999999997</v>
      </c>
      <c r="N30" s="137">
        <f t="shared" si="19"/>
        <v>5</v>
      </c>
      <c r="O30" s="138">
        <f t="shared" si="18"/>
        <v>18.95</v>
      </c>
    </row>
    <row r="31" spans="1:16" x14ac:dyDescent="0.5">
      <c r="A31" s="145">
        <f t="shared" si="8"/>
        <v>86</v>
      </c>
      <c r="B31" s="146">
        <f t="shared" si="3"/>
        <v>30</v>
      </c>
      <c r="D31" s="155">
        <f>+D30+50</f>
        <v>100</v>
      </c>
      <c r="E31" s="156">
        <f t="shared" si="11"/>
        <v>30.5</v>
      </c>
      <c r="G31" s="137">
        <f t="shared" si="15"/>
        <v>12</v>
      </c>
      <c r="H31" s="161">
        <f t="shared" si="14"/>
        <v>2.1120000000000001</v>
      </c>
      <c r="J31" s="150">
        <f>+J30+10000</f>
        <v>149200</v>
      </c>
      <c r="K31" s="154">
        <f t="shared" si="2"/>
        <v>253991.73899999997</v>
      </c>
      <c r="L31" s="135">
        <f t="shared" si="6"/>
        <v>70.553260833333326</v>
      </c>
      <c r="N31" s="137">
        <f t="shared" si="19"/>
        <v>6</v>
      </c>
      <c r="O31" s="138">
        <f t="shared" si="18"/>
        <v>22.740000000000002</v>
      </c>
    </row>
    <row r="32" spans="1:16" x14ac:dyDescent="0.5">
      <c r="A32" s="145">
        <f t="shared" si="8"/>
        <v>88</v>
      </c>
      <c r="B32" s="146">
        <f t="shared" si="3"/>
        <v>31.111111111111111</v>
      </c>
      <c r="D32" s="155">
        <f t="shared" ref="D32:D39" si="20">+D31+50</f>
        <v>150</v>
      </c>
      <c r="E32" s="156">
        <f t="shared" si="11"/>
        <v>45.75</v>
      </c>
      <c r="G32" s="137">
        <f t="shared" si="15"/>
        <v>13</v>
      </c>
      <c r="H32" s="161">
        <f t="shared" si="14"/>
        <v>2.2879999999999998</v>
      </c>
      <c r="J32" s="150">
        <f t="shared" si="16"/>
        <v>159200</v>
      </c>
      <c r="K32" s="154">
        <f t="shared" si="2"/>
        <v>271015.31399999995</v>
      </c>
      <c r="L32" s="135">
        <f t="shared" si="6"/>
        <v>75.282031666666654</v>
      </c>
      <c r="N32" s="137">
        <f t="shared" si="19"/>
        <v>7</v>
      </c>
      <c r="O32" s="138">
        <f t="shared" si="18"/>
        <v>26.53</v>
      </c>
    </row>
    <row r="33" spans="1:15" x14ac:dyDescent="0.5">
      <c r="A33" s="145">
        <f t="shared" si="8"/>
        <v>90</v>
      </c>
      <c r="B33" s="146">
        <f t="shared" si="3"/>
        <v>32.222222222222221</v>
      </c>
      <c r="D33" s="155">
        <f t="shared" si="20"/>
        <v>200</v>
      </c>
      <c r="E33" s="156">
        <f t="shared" si="11"/>
        <v>61</v>
      </c>
      <c r="G33" s="137">
        <f t="shared" si="15"/>
        <v>14</v>
      </c>
      <c r="H33" s="161">
        <f t="shared" si="14"/>
        <v>2.464</v>
      </c>
      <c r="J33" s="150">
        <f t="shared" si="16"/>
        <v>169200</v>
      </c>
      <c r="K33" s="154">
        <f t="shared" si="2"/>
        <v>288038.88900000002</v>
      </c>
      <c r="L33" s="135">
        <f t="shared" si="6"/>
        <v>80.010802500000011</v>
      </c>
      <c r="N33" s="137">
        <f t="shared" si="19"/>
        <v>8</v>
      </c>
      <c r="O33" s="138">
        <f t="shared" si="18"/>
        <v>30.32</v>
      </c>
    </row>
    <row r="34" spans="1:15" x14ac:dyDescent="0.5">
      <c r="A34" s="145">
        <f t="shared" si="8"/>
        <v>92</v>
      </c>
      <c r="B34" s="146">
        <f t="shared" si="3"/>
        <v>33.333333333333336</v>
      </c>
      <c r="D34" s="155">
        <f t="shared" si="20"/>
        <v>250</v>
      </c>
      <c r="E34" s="156">
        <f t="shared" si="11"/>
        <v>76.25</v>
      </c>
      <c r="G34" s="137">
        <f t="shared" si="15"/>
        <v>15</v>
      </c>
      <c r="H34" s="161">
        <f t="shared" si="14"/>
        <v>2.6399999999999997</v>
      </c>
      <c r="J34" s="150">
        <f t="shared" si="16"/>
        <v>179200</v>
      </c>
      <c r="K34" s="154">
        <f t="shared" si="2"/>
        <v>305062.46399999998</v>
      </c>
      <c r="L34" s="135">
        <f t="shared" si="6"/>
        <v>84.739573333333325</v>
      </c>
      <c r="N34" s="137">
        <f t="shared" si="19"/>
        <v>9</v>
      </c>
      <c r="O34" s="138">
        <f t="shared" si="18"/>
        <v>34.11</v>
      </c>
    </row>
    <row r="35" spans="1:15" ht="15.3" thickBot="1" x14ac:dyDescent="0.55000000000000004">
      <c r="A35" s="145">
        <f t="shared" si="8"/>
        <v>94</v>
      </c>
      <c r="B35" s="146">
        <f t="shared" si="3"/>
        <v>34.444444444444443</v>
      </c>
      <c r="D35" s="155">
        <f t="shared" si="20"/>
        <v>300</v>
      </c>
      <c r="E35" s="156">
        <f t="shared" si="11"/>
        <v>91.5</v>
      </c>
      <c r="G35" s="137">
        <f t="shared" si="15"/>
        <v>16</v>
      </c>
      <c r="H35" s="161">
        <f t="shared" si="14"/>
        <v>2.8159999999999998</v>
      </c>
      <c r="J35" s="150">
        <f t="shared" si="16"/>
        <v>189200</v>
      </c>
      <c r="K35" s="154">
        <f t="shared" si="2"/>
        <v>322086.03899999999</v>
      </c>
      <c r="L35" s="135">
        <f t="shared" si="6"/>
        <v>89.468344166666668</v>
      </c>
      <c r="N35" s="162">
        <f t="shared" si="19"/>
        <v>10</v>
      </c>
      <c r="O35" s="167">
        <f t="shared" si="18"/>
        <v>37.9</v>
      </c>
    </row>
    <row r="36" spans="1:15" x14ac:dyDescent="0.5">
      <c r="A36" s="145">
        <f t="shared" si="8"/>
        <v>96</v>
      </c>
      <c r="B36" s="146">
        <f t="shared" si="3"/>
        <v>35.555555555555557</v>
      </c>
      <c r="D36" s="155">
        <f t="shared" si="20"/>
        <v>350</v>
      </c>
      <c r="E36" s="156">
        <f t="shared" si="11"/>
        <v>106.75</v>
      </c>
      <c r="G36" s="137">
        <f>+G35+1</f>
        <v>17</v>
      </c>
      <c r="H36" s="161">
        <f t="shared" si="14"/>
        <v>2.992</v>
      </c>
      <c r="J36" s="150">
        <f>+J35+10000</f>
        <v>199200</v>
      </c>
      <c r="K36" s="154">
        <f t="shared" si="2"/>
        <v>339109.614</v>
      </c>
      <c r="L36" s="135">
        <f t="shared" si="6"/>
        <v>94.197114999999997</v>
      </c>
    </row>
    <row r="37" spans="1:15" x14ac:dyDescent="0.5">
      <c r="A37" s="145">
        <f t="shared" si="8"/>
        <v>98</v>
      </c>
      <c r="B37" s="146">
        <f t="shared" si="3"/>
        <v>36.666666666666664</v>
      </c>
      <c r="D37" s="155">
        <f t="shared" si="20"/>
        <v>400</v>
      </c>
      <c r="E37" s="156">
        <f t="shared" si="11"/>
        <v>122</v>
      </c>
      <c r="G37" s="137">
        <f t="shared" si="15"/>
        <v>18</v>
      </c>
      <c r="H37" s="161">
        <f t="shared" si="14"/>
        <v>3.1679999999999997</v>
      </c>
      <c r="J37" s="150">
        <f t="shared" si="16"/>
        <v>209200</v>
      </c>
      <c r="K37" s="154">
        <f t="shared" si="2"/>
        <v>356133.18900000001</v>
      </c>
      <c r="L37" s="135">
        <f t="shared" si="6"/>
        <v>98.925885833333339</v>
      </c>
    </row>
    <row r="38" spans="1:15" x14ac:dyDescent="0.5">
      <c r="A38" s="145">
        <f t="shared" si="8"/>
        <v>100</v>
      </c>
      <c r="B38" s="146">
        <f t="shared" si="3"/>
        <v>37.777777777777779</v>
      </c>
      <c r="D38" s="155">
        <f>+D37+50</f>
        <v>450</v>
      </c>
      <c r="E38" s="156">
        <f t="shared" si="11"/>
        <v>137.25</v>
      </c>
      <c r="G38" s="137">
        <f t="shared" si="15"/>
        <v>19</v>
      </c>
      <c r="H38" s="161">
        <f t="shared" si="14"/>
        <v>3.3439999999999999</v>
      </c>
      <c r="J38" s="150">
        <f t="shared" si="16"/>
        <v>219200</v>
      </c>
      <c r="K38" s="154">
        <f t="shared" si="2"/>
        <v>373156.76399999997</v>
      </c>
      <c r="L38" s="135">
        <f t="shared" si="6"/>
        <v>103.65465666666665</v>
      </c>
    </row>
    <row r="39" spans="1:15" ht="15.3" thickBot="1" x14ac:dyDescent="0.55000000000000004">
      <c r="A39" s="168">
        <f t="shared" si="8"/>
        <v>102</v>
      </c>
      <c r="B39" s="169">
        <f t="shared" si="3"/>
        <v>38.888888888888886</v>
      </c>
      <c r="D39" s="170">
        <f t="shared" si="20"/>
        <v>500</v>
      </c>
      <c r="E39" s="171">
        <f t="shared" si="11"/>
        <v>152.5</v>
      </c>
      <c r="G39" s="162">
        <f t="shared" si="15"/>
        <v>20</v>
      </c>
      <c r="H39" s="172">
        <f t="shared" si="14"/>
        <v>3.5199999999999996</v>
      </c>
      <c r="J39" s="173">
        <f t="shared" si="16"/>
        <v>229200</v>
      </c>
      <c r="K39" s="174">
        <f t="shared" si="2"/>
        <v>390180.33899999998</v>
      </c>
      <c r="L39" s="135">
        <f t="shared" si="6"/>
        <v>108.3834275</v>
      </c>
    </row>
    <row r="41" spans="1:15" x14ac:dyDescent="0.5">
      <c r="A41" s="12" t="s">
        <v>133</v>
      </c>
      <c r="F41" s="125" t="s">
        <v>134</v>
      </c>
      <c r="I41" s="125" t="s">
        <v>29</v>
      </c>
    </row>
    <row r="42" spans="1:15" ht="15.3" thickBot="1" x14ac:dyDescent="0.55000000000000004">
      <c r="A42" s="12" t="s">
        <v>126</v>
      </c>
      <c r="B42" s="124" t="s">
        <v>127</v>
      </c>
      <c r="C42" s="12" t="s">
        <v>126</v>
      </c>
      <c r="D42" s="12" t="s">
        <v>127</v>
      </c>
      <c r="F42" s="12" t="s">
        <v>126</v>
      </c>
      <c r="G42" s="12" t="s">
        <v>127</v>
      </c>
      <c r="I42" s="12" t="s">
        <v>126</v>
      </c>
      <c r="J42" s="12" t="s">
        <v>127</v>
      </c>
      <c r="K42" s="12" t="s">
        <v>126</v>
      </c>
      <c r="L42" s="12" t="s">
        <v>127</v>
      </c>
    </row>
    <row r="43" spans="1:15" x14ac:dyDescent="0.5">
      <c r="A43" s="175">
        <v>0.25</v>
      </c>
      <c r="B43" s="176">
        <f>+A43/2.2</f>
        <v>0.11363636363636363</v>
      </c>
      <c r="C43" s="177">
        <v>3</v>
      </c>
      <c r="D43" s="178">
        <f>+C43/2.2</f>
        <v>1.3636363636363635</v>
      </c>
      <c r="F43" s="179">
        <v>1</v>
      </c>
      <c r="G43" s="180">
        <f>+F43*0.293</f>
        <v>0.29299999999999998</v>
      </c>
      <c r="I43" s="181">
        <v>0.01</v>
      </c>
      <c r="J43" s="182">
        <f>+I43*249</f>
        <v>2.4900000000000002</v>
      </c>
      <c r="K43" s="183">
        <v>0.12</v>
      </c>
      <c r="L43" s="184">
        <f>+K43*249</f>
        <v>29.88</v>
      </c>
    </row>
    <row r="44" spans="1:15" x14ac:dyDescent="0.5">
      <c r="A44" s="137">
        <f>+A43+0.25</f>
        <v>0.5</v>
      </c>
      <c r="B44" s="185">
        <f t="shared" ref="B44:D53" si="21">+A44/2.2</f>
        <v>0.22727272727272727</v>
      </c>
      <c r="C44" s="137">
        <f>+C43+0.25</f>
        <v>3.25</v>
      </c>
      <c r="D44" s="135">
        <f t="shared" si="21"/>
        <v>1.4772727272727271</v>
      </c>
      <c r="F44" s="137">
        <v>5</v>
      </c>
      <c r="G44" s="138">
        <f t="shared" ref="G44:G49" si="22">+F44*0.293</f>
        <v>1.4649999999999999</v>
      </c>
      <c r="I44" s="137">
        <f>0.01+I43</f>
        <v>0.02</v>
      </c>
      <c r="J44" s="186">
        <f t="shared" ref="J44:L59" si="23">+I44*249</f>
        <v>4.9800000000000004</v>
      </c>
      <c r="K44" s="187">
        <f>0.01+K43</f>
        <v>0.13</v>
      </c>
      <c r="L44" s="135">
        <f t="shared" si="23"/>
        <v>32.370000000000005</v>
      </c>
    </row>
    <row r="45" spans="1:15" x14ac:dyDescent="0.5">
      <c r="A45" s="137">
        <f t="shared" ref="A45:C52" si="24">+A44+0.25</f>
        <v>0.75</v>
      </c>
      <c r="B45" s="185">
        <f t="shared" si="21"/>
        <v>0.34090909090909088</v>
      </c>
      <c r="C45" s="137">
        <f t="shared" si="24"/>
        <v>3.5</v>
      </c>
      <c r="D45" s="135">
        <f t="shared" si="21"/>
        <v>1.5909090909090908</v>
      </c>
      <c r="F45" s="137">
        <v>10</v>
      </c>
      <c r="G45" s="138">
        <f t="shared" si="22"/>
        <v>2.9299999999999997</v>
      </c>
      <c r="I45" s="137">
        <f t="shared" ref="I45:I59" si="25">0.01+I44</f>
        <v>0.03</v>
      </c>
      <c r="J45" s="186">
        <f t="shared" si="23"/>
        <v>7.47</v>
      </c>
      <c r="K45" s="187">
        <f t="shared" ref="K45:K59" si="26">0.01+K44</f>
        <v>0.14000000000000001</v>
      </c>
      <c r="L45" s="135">
        <f t="shared" si="23"/>
        <v>34.860000000000007</v>
      </c>
    </row>
    <row r="46" spans="1:15" x14ac:dyDescent="0.5">
      <c r="A46" s="137">
        <f t="shared" si="24"/>
        <v>1</v>
      </c>
      <c r="B46" s="185">
        <f t="shared" si="21"/>
        <v>0.45454545454545453</v>
      </c>
      <c r="C46" s="137">
        <f t="shared" si="24"/>
        <v>3.75</v>
      </c>
      <c r="D46" s="135">
        <f t="shared" si="21"/>
        <v>1.7045454545454544</v>
      </c>
      <c r="F46" s="137">
        <v>100</v>
      </c>
      <c r="G46" s="138">
        <f t="shared" si="22"/>
        <v>29.299999999999997</v>
      </c>
      <c r="I46" s="137">
        <f t="shared" si="25"/>
        <v>0.04</v>
      </c>
      <c r="J46" s="186">
        <f t="shared" si="23"/>
        <v>9.9600000000000009</v>
      </c>
      <c r="K46" s="187">
        <f t="shared" si="26"/>
        <v>0.15000000000000002</v>
      </c>
      <c r="L46" s="135">
        <f t="shared" si="23"/>
        <v>37.350000000000009</v>
      </c>
    </row>
    <row r="47" spans="1:15" x14ac:dyDescent="0.5">
      <c r="A47" s="137">
        <f t="shared" si="24"/>
        <v>1.25</v>
      </c>
      <c r="B47" s="185">
        <f t="shared" si="21"/>
        <v>0.56818181818181812</v>
      </c>
      <c r="C47" s="137">
        <f t="shared" si="24"/>
        <v>4</v>
      </c>
      <c r="D47" s="135">
        <f t="shared" si="21"/>
        <v>1.8181818181818181</v>
      </c>
      <c r="F47" s="188">
        <v>1000</v>
      </c>
      <c r="G47" s="189">
        <f t="shared" si="22"/>
        <v>293</v>
      </c>
      <c r="I47" s="137">
        <f t="shared" si="25"/>
        <v>0.05</v>
      </c>
      <c r="J47" s="186">
        <f t="shared" si="23"/>
        <v>12.450000000000001</v>
      </c>
      <c r="K47" s="187">
        <f t="shared" si="26"/>
        <v>0.16000000000000003</v>
      </c>
      <c r="L47" s="135">
        <f t="shared" si="23"/>
        <v>39.840000000000011</v>
      </c>
    </row>
    <row r="48" spans="1:15" x14ac:dyDescent="0.5">
      <c r="A48" s="137">
        <f t="shared" si="24"/>
        <v>1.5</v>
      </c>
      <c r="B48" s="185">
        <f t="shared" si="21"/>
        <v>0.68181818181818177</v>
      </c>
      <c r="C48" s="137">
        <f t="shared" si="24"/>
        <v>4.25</v>
      </c>
      <c r="D48" s="135">
        <f t="shared" si="21"/>
        <v>1.9318181818181817</v>
      </c>
      <c r="F48" s="188">
        <v>10000</v>
      </c>
      <c r="G48" s="189">
        <f t="shared" si="22"/>
        <v>2930</v>
      </c>
      <c r="I48" s="137">
        <f t="shared" si="25"/>
        <v>6.0000000000000005E-2</v>
      </c>
      <c r="J48" s="186">
        <f t="shared" si="23"/>
        <v>14.940000000000001</v>
      </c>
      <c r="K48" s="187">
        <f t="shared" si="26"/>
        <v>0.17000000000000004</v>
      </c>
      <c r="L48" s="135">
        <f t="shared" si="23"/>
        <v>42.330000000000013</v>
      </c>
    </row>
    <row r="49" spans="1:12" ht="15.3" thickBot="1" x14ac:dyDescent="0.55000000000000004">
      <c r="A49" s="137">
        <f t="shared" si="24"/>
        <v>1.75</v>
      </c>
      <c r="B49" s="185">
        <f t="shared" si="21"/>
        <v>0.79545454545454541</v>
      </c>
      <c r="C49" s="137">
        <f t="shared" si="24"/>
        <v>4.5</v>
      </c>
      <c r="D49" s="135">
        <f t="shared" si="21"/>
        <v>2.0454545454545454</v>
      </c>
      <c r="F49" s="190">
        <v>100000</v>
      </c>
      <c r="G49" s="191">
        <f t="shared" si="22"/>
        <v>29300</v>
      </c>
      <c r="I49" s="137">
        <f t="shared" si="25"/>
        <v>7.0000000000000007E-2</v>
      </c>
      <c r="J49" s="186">
        <f t="shared" si="23"/>
        <v>17.430000000000003</v>
      </c>
      <c r="K49" s="187">
        <f t="shared" si="26"/>
        <v>0.18000000000000005</v>
      </c>
      <c r="L49" s="135">
        <f t="shared" si="23"/>
        <v>44.820000000000014</v>
      </c>
    </row>
    <row r="50" spans="1:12" x14ac:dyDescent="0.5">
      <c r="A50" s="137">
        <f t="shared" si="24"/>
        <v>2</v>
      </c>
      <c r="B50" s="185">
        <f t="shared" si="21"/>
        <v>0.90909090909090906</v>
      </c>
      <c r="C50" s="137">
        <f t="shared" si="24"/>
        <v>4.75</v>
      </c>
      <c r="D50" s="135">
        <f t="shared" si="21"/>
        <v>2.1590909090909087</v>
      </c>
      <c r="I50" s="137">
        <f t="shared" si="25"/>
        <v>0.08</v>
      </c>
      <c r="J50" s="186">
        <f t="shared" si="23"/>
        <v>19.920000000000002</v>
      </c>
      <c r="K50" s="187">
        <f t="shared" si="26"/>
        <v>0.19000000000000006</v>
      </c>
      <c r="L50" s="135">
        <f t="shared" si="23"/>
        <v>47.310000000000016</v>
      </c>
    </row>
    <row r="51" spans="1:12" x14ac:dyDescent="0.5">
      <c r="A51" s="137">
        <f t="shared" si="24"/>
        <v>2.25</v>
      </c>
      <c r="B51" s="185">
        <f t="shared" si="21"/>
        <v>1.0227272727272727</v>
      </c>
      <c r="C51" s="137">
        <f t="shared" si="24"/>
        <v>5</v>
      </c>
      <c r="D51" s="135">
        <f t="shared" si="21"/>
        <v>2.2727272727272725</v>
      </c>
      <c r="I51" s="137">
        <f t="shared" si="25"/>
        <v>0.09</v>
      </c>
      <c r="J51" s="186">
        <f t="shared" si="23"/>
        <v>22.41</v>
      </c>
      <c r="K51" s="187">
        <f t="shared" si="26"/>
        <v>0.20000000000000007</v>
      </c>
      <c r="L51" s="135">
        <f t="shared" si="23"/>
        <v>49.800000000000018</v>
      </c>
    </row>
    <row r="52" spans="1:12" x14ac:dyDescent="0.5">
      <c r="A52" s="137">
        <f t="shared" si="24"/>
        <v>2.5</v>
      </c>
      <c r="B52" s="185">
        <f t="shared" si="21"/>
        <v>1.1363636363636362</v>
      </c>
      <c r="C52" s="137">
        <f t="shared" si="24"/>
        <v>5.25</v>
      </c>
      <c r="D52" s="135">
        <f t="shared" si="21"/>
        <v>2.3863636363636362</v>
      </c>
      <c r="I52" s="137">
        <f t="shared" si="25"/>
        <v>9.9999999999999992E-2</v>
      </c>
      <c r="J52" s="186">
        <f t="shared" si="23"/>
        <v>24.9</v>
      </c>
      <c r="K52" s="187">
        <f t="shared" si="26"/>
        <v>0.21000000000000008</v>
      </c>
      <c r="L52" s="135">
        <f t="shared" si="23"/>
        <v>52.29000000000002</v>
      </c>
    </row>
    <row r="53" spans="1:12" ht="15.3" thickBot="1" x14ac:dyDescent="0.55000000000000004">
      <c r="A53" s="162">
        <f>+A52+0.25</f>
        <v>2.75</v>
      </c>
      <c r="B53" s="192">
        <f t="shared" si="21"/>
        <v>1.25</v>
      </c>
      <c r="C53" s="162">
        <f>+C52+0.25</f>
        <v>5.5</v>
      </c>
      <c r="D53" s="158">
        <f t="shared" si="21"/>
        <v>2.5</v>
      </c>
      <c r="I53" s="137">
        <f t="shared" si="25"/>
        <v>0.10999999999999999</v>
      </c>
      <c r="J53" s="186">
        <f t="shared" si="23"/>
        <v>27.389999999999997</v>
      </c>
      <c r="K53" s="187">
        <f t="shared" si="26"/>
        <v>0.22000000000000008</v>
      </c>
      <c r="L53" s="135">
        <f t="shared" si="23"/>
        <v>54.780000000000022</v>
      </c>
    </row>
    <row r="54" spans="1:12" x14ac:dyDescent="0.5">
      <c r="I54" s="137">
        <f t="shared" si="25"/>
        <v>0.11999999999999998</v>
      </c>
      <c r="J54" s="186">
        <f t="shared" si="23"/>
        <v>29.879999999999995</v>
      </c>
      <c r="K54" s="187">
        <f t="shared" si="26"/>
        <v>0.23000000000000009</v>
      </c>
      <c r="L54" s="135">
        <f t="shared" si="23"/>
        <v>57.270000000000024</v>
      </c>
    </row>
    <row r="55" spans="1:12" x14ac:dyDescent="0.5">
      <c r="I55" s="137">
        <f t="shared" si="25"/>
        <v>0.12999999999999998</v>
      </c>
      <c r="J55" s="186">
        <f t="shared" si="23"/>
        <v>32.369999999999997</v>
      </c>
      <c r="K55" s="187">
        <f t="shared" si="26"/>
        <v>0.2400000000000001</v>
      </c>
      <c r="L55" s="135">
        <f t="shared" si="23"/>
        <v>59.760000000000026</v>
      </c>
    </row>
    <row r="56" spans="1:12" x14ac:dyDescent="0.5">
      <c r="I56" s="137">
        <f t="shared" si="25"/>
        <v>0.13999999999999999</v>
      </c>
      <c r="J56" s="186">
        <f t="shared" si="23"/>
        <v>34.86</v>
      </c>
      <c r="K56" s="187">
        <f t="shared" si="26"/>
        <v>0.25000000000000011</v>
      </c>
      <c r="L56" s="135">
        <f t="shared" si="23"/>
        <v>62.250000000000028</v>
      </c>
    </row>
    <row r="57" spans="1:12" x14ac:dyDescent="0.5">
      <c r="I57" s="137">
        <f t="shared" si="25"/>
        <v>0.15</v>
      </c>
      <c r="J57" s="186">
        <f t="shared" si="23"/>
        <v>37.35</v>
      </c>
      <c r="K57" s="187">
        <f t="shared" si="26"/>
        <v>0.26000000000000012</v>
      </c>
      <c r="L57" s="135">
        <f t="shared" si="23"/>
        <v>64.740000000000023</v>
      </c>
    </row>
    <row r="58" spans="1:12" x14ac:dyDescent="0.5">
      <c r="I58" s="137">
        <f t="shared" si="25"/>
        <v>0.16</v>
      </c>
      <c r="J58" s="186">
        <f t="shared" si="23"/>
        <v>39.840000000000003</v>
      </c>
      <c r="K58" s="187">
        <f t="shared" si="26"/>
        <v>0.27000000000000013</v>
      </c>
      <c r="L58" s="135">
        <f t="shared" si="23"/>
        <v>67.230000000000032</v>
      </c>
    </row>
    <row r="59" spans="1:12" ht="15.3" thickBot="1" x14ac:dyDescent="0.55000000000000004">
      <c r="I59" s="162">
        <f t="shared" si="25"/>
        <v>0.17</v>
      </c>
      <c r="J59" s="193">
        <f t="shared" si="23"/>
        <v>42.330000000000005</v>
      </c>
      <c r="K59" s="194">
        <f t="shared" si="26"/>
        <v>0.28000000000000014</v>
      </c>
      <c r="L59" s="158">
        <f t="shared" si="23"/>
        <v>69.720000000000027</v>
      </c>
    </row>
  </sheetData>
  <pageMargins left="0.75" right="0.75" top="0.56999999999999995" bottom="0.54" header="0.5" footer="0.5"/>
  <pageSetup scale="6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>
      <selection sqref="A1:B6"/>
    </sheetView>
  </sheetViews>
  <sheetFormatPr defaultRowHeight="12.3" x14ac:dyDescent="0.4"/>
  <sheetData>
    <row r="1" spans="1:2" x14ac:dyDescent="0.4">
      <c r="A1">
        <v>1000</v>
      </c>
      <c r="B1">
        <v>20652</v>
      </c>
    </row>
    <row r="2" spans="1:2" x14ac:dyDescent="0.4">
      <c r="A2">
        <v>1000</v>
      </c>
      <c r="B2">
        <v>20576</v>
      </c>
    </row>
    <row r="3" spans="1:2" x14ac:dyDescent="0.4">
      <c r="A3">
        <v>1200</v>
      </c>
      <c r="B3">
        <v>21152</v>
      </c>
    </row>
    <row r="4" spans="1:2" x14ac:dyDescent="0.4">
      <c r="A4">
        <v>1500</v>
      </c>
      <c r="B4">
        <v>22030</v>
      </c>
    </row>
    <row r="5" spans="1:2" x14ac:dyDescent="0.4">
      <c r="A5">
        <v>1905</v>
      </c>
      <c r="B5">
        <v>22325</v>
      </c>
    </row>
    <row r="6" spans="1:2" x14ac:dyDescent="0.4">
      <c r="A6">
        <v>2521</v>
      </c>
      <c r="B6">
        <v>23014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Tunnel heat gain analysis</vt:lpstr>
      <vt:lpstr>Tunnel fan comparison </vt:lpstr>
      <vt:lpstr>Evap cooling system design</vt:lpstr>
      <vt:lpstr>Pad set temp simulator 2014</vt:lpstr>
      <vt:lpstr>conversions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Michael Czarick</cp:lastModifiedBy>
  <cp:lastPrinted>2019-07-29T14:27:18Z</cp:lastPrinted>
  <dcterms:created xsi:type="dcterms:W3CDTF">2014-03-10T15:52:15Z</dcterms:created>
  <dcterms:modified xsi:type="dcterms:W3CDTF">2020-06-03T12:29:58Z</dcterms:modified>
</cp:coreProperties>
</file>