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Evap cooling system design" sheetId="1" r:id="rId1"/>
  </sheets>
  <externalReferences>
    <externalReference r:id="rId2"/>
    <externalReference r:id="rId3"/>
  </externalReferences>
  <definedNames>
    <definedName name="_Tdb1">#REF!</definedName>
    <definedName name="_Tdb2">#REF!</definedName>
    <definedName name="_Tdb3">[2]Mixing!$D$15</definedName>
    <definedName name="_Twb1">#REF!</definedName>
    <definedName name="_Twb2">#REF!</definedName>
    <definedName name="_Twb3">[2]Mixing!$D$18</definedName>
    <definedName name="APHg">'[2]Htg Coil'!$B$12</definedName>
    <definedName name="APinHg">#REF!</definedName>
    <definedName name="APinHgIn">'[2]Clg-Coil'!$B$12</definedName>
    <definedName name="APpsia">'[2]Htg Coil'!$B$11</definedName>
    <definedName name="AtmPress">#REF!</definedName>
    <definedName name="AtmPressIn">'[2]Clg-Coil'!$B$11</definedName>
    <definedName name="BHP">'[2]Clg-Coil'!$I$6</definedName>
    <definedName name="BPFactor">'[2]Clg Coil-BP'!$B$6</definedName>
    <definedName name="cp">#REF!</definedName>
    <definedName name="DewPt1">#REF!</definedName>
    <definedName name="DewPt2">#REF!</definedName>
    <definedName name="Elev">'[2]Clg Coil-BP'!$B$11</definedName>
    <definedName name="Elevation">#REF!</definedName>
    <definedName name="ElevH">'[2]Htg Coil'!$B$10</definedName>
    <definedName name="ElevIn">'[2]Clg-Coil'!$B$10</definedName>
    <definedName name="Enal1">#REF!</definedName>
    <definedName name="Enal2">#REF!</definedName>
    <definedName name="EnalFluid">'[2]Htg Coil'!$J$16</definedName>
    <definedName name="EnalHru">'[2]Heat Rec''ry'!$H$22</definedName>
    <definedName name="EnalOut">'[2]Heat Rec''ry'!$E$22</definedName>
    <definedName name="EnalRet">'[2]Clg Coil-BP'!$B$20</definedName>
    <definedName name="EnalRm">'[2]Heat Rec''ry'!$B$22</definedName>
    <definedName name="EnalSup">'[2]Clg Coil-BP'!$F$20</definedName>
    <definedName name="FanEff">'[2]Clg-Coil'!$I$4</definedName>
    <definedName name="FluidTemp">'[2]Htg Coil'!$J$15</definedName>
    <definedName name="FluidType">'[2]Htg Coil'!$J$14</definedName>
    <definedName name="h">#REF!</definedName>
    <definedName name="HRatio1">#REF!</definedName>
    <definedName name="HRatio2">#REF!</definedName>
    <definedName name="HRatio3">[2]Mixing!$D$16</definedName>
    <definedName name="HRatioadp">'[2]Clg Coil-BP'!$F$10</definedName>
    <definedName name="HRatioHin">'[2]Htg Coil'!$B$15</definedName>
    <definedName name="HRatioHout">'[2]Htg Coil'!$F$10</definedName>
    <definedName name="HRatioHru">'[2]Heat Rec''ry'!$H$18</definedName>
    <definedName name="HRatioIn">'[2]Clg-Coil'!$B$15</definedName>
    <definedName name="HRatioNet">'[2]Clg-Coil'!$I$15</definedName>
    <definedName name="HRatioOA">'[2]Htg Coil'!$J$6</definedName>
    <definedName name="HRatioOut">'[2]Heat Rec''ry'!$E$18</definedName>
    <definedName name="HRatioRet">'[2]Clg Coil-BP'!$B$16</definedName>
    <definedName name="HRatioRm">'[2]Heat Rec''ry'!$B$18</definedName>
    <definedName name="HRatioSup">'[2]Clg Coil-BP'!$F$16</definedName>
    <definedName name="LatEff">'[2]Heat Rec''ry'!$B$7</definedName>
    <definedName name="mflow1">[2]Mixing!$B$10</definedName>
    <definedName name="mflow2">[2]Mixing!$F$10</definedName>
    <definedName name="mflow3">[2]Mixing!$D$13</definedName>
    <definedName name="mflowHin">'[2]Htg Coil'!$B$6</definedName>
    <definedName name="mflowIn">'[2]Clg-Coil'!$F$8</definedName>
    <definedName name="mflowOut">'[2]Heat Rec''ry'!$B$11</definedName>
    <definedName name="mflowRet">'[2]Clg Coil-BP'!$F$4</definedName>
    <definedName name="mfluid">'[2]Htg Coil'!$J$17</definedName>
    <definedName name="MotorEff">'[2]Clg-Coil'!$I$5</definedName>
    <definedName name="OAVentInfil">'[2]Htg Coil'!$J$5</definedName>
    <definedName name="Qair1">[2]Mixing!$B$6</definedName>
    <definedName name="Qair2">[2]Mixing!$F$6</definedName>
    <definedName name="QairEx">'[2]Heat Rec''ry'!$B$15</definedName>
    <definedName name="QairHin">'[2]Htg Coil'!$B$3</definedName>
    <definedName name="QairIn">'[2]Clg-Coil'!$B$3</definedName>
    <definedName name="QairOut">'[2]Heat Rec''ry'!$B$9</definedName>
    <definedName name="QairRet">'[2]Clg Coil-BP'!$B$4</definedName>
    <definedName name="qFan">'[2]Clg-Coil'!$I$7</definedName>
    <definedName name="qFurn">'[2]Htg Coil'!$B$4</definedName>
    <definedName name="qHumid">'[2]Htg Coil'!$J$18</definedName>
    <definedName name="QSairIn">'[2]Clg-Coil'!$B$6</definedName>
    <definedName name="qSenHru">'[2]Heat Rec''ry'!$E$15</definedName>
    <definedName name="qSenNet">'[2]Clg-Coil'!$I$9</definedName>
    <definedName name="qSensible">'[2]Clg Coil-BP'!$F$13</definedName>
    <definedName name="qTotal">'[2]Clg Coil-BP'!$F$12</definedName>
    <definedName name="qTotalHru">'[2]Heat Rec''ry'!$E$14</definedName>
    <definedName name="qTotNet">'[2]Clg-Coil'!$I$8</definedName>
    <definedName name="RelHum1">#REF!</definedName>
    <definedName name="RelHum2">#REF!</definedName>
    <definedName name="RH">#REF!</definedName>
    <definedName name="SC">'[2]Clg-Coil'!$B$5</definedName>
    <definedName name="SenEff">'[2]Heat Rec''ry'!$B$6</definedName>
    <definedName name="SpHt1">#REF!</definedName>
    <definedName name="SpHt2">#REF!</definedName>
    <definedName name="SpHtHin">'[2]Htg Coil'!$B$18</definedName>
    <definedName name="SpHtIn">'[2]Clg-Coil'!$B$18</definedName>
    <definedName name="SpHtOut">'[2]Heat Rec''ry'!$E$21</definedName>
    <definedName name="SpHtRet">'[2]Clg Coil-BP'!$B$19</definedName>
    <definedName name="SpVol1">#REF!</definedName>
    <definedName name="SpVol2">#REF!</definedName>
    <definedName name="SpVol3">[2]Mixing!$D$22</definedName>
    <definedName name="SpVolHin">'[2]Htg Coil'!$B$20</definedName>
    <definedName name="SpVolIn">'[2]Clg-Coil'!$B$20</definedName>
    <definedName name="SpVolOut">'[2]Heat Rec''ry'!$E$23</definedName>
    <definedName name="SpVolRet">'[2]Clg Coil-BP'!$B$21</definedName>
    <definedName name="SpVolSup">'[2]Clg Coil-BP'!$F$21</definedName>
    <definedName name="SupFankW">'[2]Heat Rec''ry'!$B$12</definedName>
    <definedName name="Tadp">'[2]Clg Coil-BP'!$B$5</definedName>
    <definedName name="TC">'[2]Clg-Coil'!$B$4</definedName>
    <definedName name="TdbHin">'[2]Htg Coil'!$B$8</definedName>
    <definedName name="TdbHout">'[2]Htg Coil'!$F$6</definedName>
    <definedName name="TdbHru">'[2]Heat Rec''ry'!$H$14</definedName>
    <definedName name="TdbIn">'[2]Clg-Coil'!$B$8</definedName>
    <definedName name="TdbNet">'[2]Clg-Coil'!$I$12</definedName>
    <definedName name="TdbOut">'[2]Heat Rec''ry'!$F$9</definedName>
    <definedName name="TdbOutAir">'[2]Htg Coil'!$J$3</definedName>
    <definedName name="TdbRet">'[2]Clg Coil-BP'!$B$9</definedName>
    <definedName name="TdbRm">'[2]Heat Rec''ry'!$F$6</definedName>
    <definedName name="TdbSup">'[2]Clg Coil-BP'!$F$8</definedName>
    <definedName name="Tdrybulb">#REF!</definedName>
    <definedName name="Tdwb1">#REF!</definedName>
    <definedName name="TotalPress">'[2]Clg-Coil'!$I$3</definedName>
    <definedName name="TwbHin">'[2]Htg Coil'!$B$9</definedName>
    <definedName name="TwbHout">'[2]Htg Coil'!$F$7</definedName>
    <definedName name="TwbHru">'[2]Heat Rec''ry'!$H$15</definedName>
    <definedName name="TwbIn">'[2]Clg-Coil'!$B$9</definedName>
    <definedName name="TwbNet">'[2]Clg-Coil'!$I$13</definedName>
    <definedName name="TwbOut">'[2]Heat Rec''ry'!$F$10</definedName>
    <definedName name="TwbOutAir">'[2]Htg Coil'!$J$4</definedName>
    <definedName name="TwbRet">'[2]Clg Coil-BP'!$B$10</definedName>
    <definedName name="TwbRm">'[2]Heat Rec''ry'!$F$7</definedName>
    <definedName name="TwbSup">'[2]Clg Coil-BP'!$F$9</definedName>
    <definedName name="Twetbulb">#REF!</definedName>
    <definedName name="v">#REF!</definedName>
    <definedName name="W">#REF!</definedName>
    <definedName name="W1_">#REF!</definedName>
  </definedNames>
  <calcPr calcId="145621"/>
</workbook>
</file>

<file path=xl/calcChain.xml><?xml version="1.0" encoding="utf-8"?>
<calcChain xmlns="http://schemas.openxmlformats.org/spreadsheetml/2006/main">
  <c r="D54" i="1" l="1"/>
  <c r="D56" i="1" s="1"/>
  <c r="D58" i="1" s="1"/>
  <c r="D60" i="1" s="1"/>
  <c r="D45" i="1"/>
  <c r="D47" i="1" s="1"/>
  <c r="C45" i="1"/>
  <c r="D44" i="1"/>
  <c r="D43" i="1"/>
  <c r="C43" i="1"/>
  <c r="F43" i="1" s="1"/>
  <c r="D42" i="1"/>
  <c r="E39" i="1"/>
  <c r="E38" i="1" s="1"/>
  <c r="D39" i="1"/>
  <c r="C39" i="1"/>
  <c r="E27" i="1"/>
  <c r="C27" i="1"/>
  <c r="F26" i="1"/>
  <c r="E26" i="1"/>
  <c r="F25" i="1"/>
  <c r="F27" i="1" s="1"/>
  <c r="D27" i="1" s="1"/>
  <c r="E25" i="1"/>
  <c r="D17" i="1"/>
  <c r="C17" i="1"/>
  <c r="F16" i="1"/>
  <c r="E16" i="1"/>
  <c r="D16" i="1"/>
  <c r="C16" i="1"/>
  <c r="E14" i="1"/>
  <c r="E15" i="1" s="1"/>
  <c r="C15" i="1" s="1"/>
  <c r="C14" i="1"/>
  <c r="D13" i="1"/>
  <c r="C13" i="1"/>
  <c r="E9" i="1"/>
  <c r="E7" i="1"/>
  <c r="E6" i="1"/>
  <c r="C47" i="1" l="1"/>
  <c r="D48" i="1"/>
  <c r="D49" i="1" s="1"/>
  <c r="F31" i="1"/>
  <c r="D31" i="1" s="1"/>
  <c r="E43" i="1"/>
  <c r="E45" i="1"/>
  <c r="F14" i="1"/>
  <c r="F39" i="1"/>
  <c r="F45" i="1"/>
  <c r="C40" i="1"/>
  <c r="C42" i="1"/>
  <c r="C44" i="1"/>
  <c r="E28" i="1"/>
  <c r="E19" i="1" l="1"/>
  <c r="C19" i="1" s="1"/>
  <c r="C41" i="1"/>
  <c r="F47" i="1"/>
  <c r="F48" i="1" s="1"/>
  <c r="F49" i="1" s="1"/>
  <c r="F38" i="1"/>
  <c r="F28" i="1"/>
  <c r="E40" i="1"/>
  <c r="D40" i="1"/>
  <c r="E18" i="1"/>
  <c r="C18" i="1" s="1"/>
  <c r="E31" i="1"/>
  <c r="C31" i="1" s="1"/>
  <c r="F18" i="1"/>
  <c r="D18" i="1" s="1"/>
  <c r="C48" i="1"/>
  <c r="C49" i="1" s="1"/>
  <c r="E30" i="1"/>
  <c r="C30" i="1" s="1"/>
  <c r="E29" i="1"/>
  <c r="C29" i="1" s="1"/>
  <c r="C28" i="1"/>
  <c r="F15" i="1"/>
  <c r="D15" i="1" s="1"/>
  <c r="D14" i="1"/>
  <c r="E47" i="1"/>
  <c r="E48" i="1" s="1"/>
  <c r="E49" i="1" s="1"/>
  <c r="F44" i="1"/>
  <c r="F54" i="1" s="1"/>
  <c r="F56" i="1" s="1"/>
  <c r="F58" i="1" s="1"/>
  <c r="F60" i="1" s="1"/>
  <c r="E44" i="1"/>
  <c r="E54" i="1" s="1"/>
  <c r="E56" i="1" s="1"/>
  <c r="E58" i="1" s="1"/>
  <c r="E60" i="1" s="1"/>
  <c r="C54" i="1"/>
  <c r="C56" i="1" s="1"/>
  <c r="C58" i="1" s="1"/>
  <c r="C60" i="1" s="1"/>
  <c r="F40" i="1"/>
  <c r="F42" i="1"/>
  <c r="E42" i="1"/>
  <c r="C50" i="1" l="1"/>
  <c r="C52" i="1" s="1"/>
  <c r="C55" i="1"/>
  <c r="C51" i="1"/>
  <c r="C53" i="1" s="1"/>
  <c r="C20" i="1" s="1"/>
  <c r="F19" i="1"/>
  <c r="D19" i="1" s="1"/>
  <c r="D41" i="1"/>
  <c r="E32" i="1"/>
  <c r="C32" i="1" s="1"/>
  <c r="E41" i="1"/>
  <c r="F32" i="1"/>
  <c r="D32" i="1" s="1"/>
  <c r="F41" i="1"/>
  <c r="F30" i="1"/>
  <c r="D30" i="1" s="1"/>
  <c r="D28" i="1"/>
  <c r="F29" i="1"/>
  <c r="D29" i="1" s="1"/>
  <c r="C57" i="1" l="1"/>
  <c r="C59" i="1" s="1"/>
  <c r="C61" i="1" s="1"/>
  <c r="C62" i="1" s="1"/>
  <c r="C63" i="1" s="1"/>
  <c r="E21" i="1" s="1"/>
  <c r="C21" i="1" s="1"/>
  <c r="F55" i="1"/>
  <c r="F51" i="1"/>
  <c r="F53" i="1" s="1"/>
  <c r="D33" i="1" s="1"/>
  <c r="F50" i="1"/>
  <c r="F52" i="1" s="1"/>
  <c r="E55" i="1"/>
  <c r="E51" i="1"/>
  <c r="E50" i="1"/>
  <c r="E52" i="1" s="1"/>
  <c r="D55" i="1"/>
  <c r="D51" i="1"/>
  <c r="D50" i="1"/>
  <c r="D52" i="1" s="1"/>
  <c r="F57" i="1" l="1"/>
  <c r="F59" i="1" s="1"/>
  <c r="F61" i="1" s="1"/>
  <c r="F62" i="1" s="1"/>
  <c r="F63" i="1" s="1"/>
  <c r="F34" i="1" s="1"/>
  <c r="D34" i="1" s="1"/>
  <c r="D53" i="1"/>
  <c r="D20" i="1" s="1"/>
  <c r="D57" i="1"/>
  <c r="D59" i="1" s="1"/>
  <c r="D61" i="1" s="1"/>
  <c r="D62" i="1" s="1"/>
  <c r="D63" i="1" s="1"/>
  <c r="F21" i="1" s="1"/>
  <c r="D21" i="1" s="1"/>
  <c r="E53" i="1"/>
  <c r="C33" i="1" s="1"/>
  <c r="E57" i="1"/>
  <c r="E59" i="1" s="1"/>
  <c r="E61" i="1" s="1"/>
  <c r="E62" i="1" s="1"/>
  <c r="E63" i="1" s="1"/>
  <c r="E34" i="1" s="1"/>
  <c r="C34" i="1" s="1"/>
</calcChain>
</file>

<file path=xl/sharedStrings.xml><?xml version="1.0" encoding="utf-8"?>
<sst xmlns="http://schemas.openxmlformats.org/spreadsheetml/2006/main" count="62" uniqueCount="53">
  <si>
    <t>Enter green values in all sections</t>
  </si>
  <si>
    <t>Design Conditions:</t>
  </si>
  <si>
    <t>Tunnel fan capacity (cmh)</t>
  </si>
  <si>
    <t>Outside temperature (C)</t>
  </si>
  <si>
    <t>Outside relative humidity (%)</t>
  </si>
  <si>
    <t>Pad height (m)</t>
  </si>
  <si>
    <t>System Performance:</t>
  </si>
  <si>
    <t>10 cm Pad</t>
  </si>
  <si>
    <t>15 cm Pad</t>
  </si>
  <si>
    <t>4" Pad</t>
  </si>
  <si>
    <t>6" Pad</t>
  </si>
  <si>
    <t>Design pad velocity (ft/min)</t>
  </si>
  <si>
    <t>Minimimum recommended pad area  (m2)</t>
  </si>
  <si>
    <t>Total pad length (m)</t>
  </si>
  <si>
    <t>Pad static pressure (Pa)</t>
  </si>
  <si>
    <t>Evaporative cooling efficiency</t>
  </si>
  <si>
    <t>Wet bulb / pad temperature ( C)</t>
  </si>
  <si>
    <t>Incoming air temperature ( C)</t>
  </si>
  <si>
    <t>Incoming Rh</t>
  </si>
  <si>
    <t>Pad water usage (L/min)</t>
  </si>
  <si>
    <t>Modify Pad Area?</t>
  </si>
  <si>
    <t>Desired total pad length (m)</t>
  </si>
  <si>
    <t>Desired pad height (m)</t>
  </si>
  <si>
    <t>Total pad area (m2)</t>
  </si>
  <si>
    <t>Pad velocity (m/sec)</t>
  </si>
  <si>
    <t>Cooling efficiency</t>
  </si>
  <si>
    <t>Pad velocity</t>
  </si>
  <si>
    <t>Inside temp</t>
  </si>
  <si>
    <t>inside temp c</t>
  </si>
  <si>
    <t>Outside temperature</t>
  </si>
  <si>
    <t>Outside relative humidity</t>
  </si>
  <si>
    <t>Outside C</t>
  </si>
  <si>
    <t>Outside Rh</t>
  </si>
  <si>
    <t>Wet bulb (F)</t>
  </si>
  <si>
    <t>wet bulb C</t>
  </si>
  <si>
    <t>ESWB</t>
  </si>
  <si>
    <t>ES (inside)</t>
  </si>
  <si>
    <t>W</t>
  </si>
  <si>
    <t>Ws</t>
  </si>
  <si>
    <t>RH (inside)</t>
  </si>
  <si>
    <t>pws outside</t>
  </si>
  <si>
    <t>pws inside</t>
  </si>
  <si>
    <t>pw outside</t>
  </si>
  <si>
    <t>pw inside</t>
  </si>
  <si>
    <t>A outside</t>
  </si>
  <si>
    <t>A inside</t>
  </si>
  <si>
    <t>A outside english</t>
  </si>
  <si>
    <t>A inside english</t>
  </si>
  <si>
    <t>Difference</t>
  </si>
  <si>
    <t>gallons per minute</t>
  </si>
  <si>
    <t>Evaportive Cooling Pad System Design 2014 - metric</t>
  </si>
  <si>
    <t>Pad water usage (l/min)</t>
  </si>
  <si>
    <t>The University of Georgia - Department of Poultry Science - Michael Czarick (mczarick@uga.edu)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</si>
</sst>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0.0000"/>
    <numFmt numFmtId="165" formatCode="0.0"/>
    <numFmt numFmtId="166" formatCode="#,###\ &quot;sq. ft.&quot;"/>
    <numFmt numFmtId="167" formatCode="#,###\ &quot;ft.&quot;"/>
    <numFmt numFmtId="168" formatCode="0.00\ &quot;in&quot;"/>
    <numFmt numFmtId="169" formatCode="0.0\ &quot;F&quot;"/>
    <numFmt numFmtId="170" formatCode="##\ &quot;%&quot;"/>
    <numFmt numFmtId="171" formatCode="0.0\ &quot;gals/min&quot;"/>
    <numFmt numFmtId="172" formatCode="#.0\ &quot;gals/min&quot;"/>
    <numFmt numFmtId="173" formatCode="#.#\ &quot;gals/min&quot;"/>
    <numFmt numFmtId="174" formatCode="0.000"/>
    <numFmt numFmtId="175" formatCode="#0.0\ \F"/>
    <numFmt numFmtId="176" formatCode="0.00000"/>
    <numFmt numFmtId="177" formatCode="#.#\ \F"/>
    <numFmt numFmtId="178" formatCode="#\ &quot;%&quot;"/>
    <numFmt numFmtId="179" formatCode="##.#\ &quot;gal/min&quot;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i/>
      <sz val="26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7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rgb="FF006600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8"/>
      <color rgb="FF00B050"/>
      <name val="Arial"/>
      <family val="2"/>
    </font>
    <font>
      <b/>
      <sz val="20"/>
      <color theme="0"/>
      <name val="Arial"/>
      <family val="2"/>
    </font>
    <font>
      <i/>
      <sz val="18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i/>
      <sz val="16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i/>
      <sz val="16"/>
      <color theme="0"/>
      <name val="Arial"/>
      <family val="2"/>
    </font>
    <font>
      <sz val="18"/>
      <color theme="0"/>
      <name val="Arial"/>
      <family val="2"/>
    </font>
    <font>
      <u/>
      <sz val="6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5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1" applyFont="1"/>
    <xf numFmtId="0" fontId="7" fillId="0" borderId="0" xfId="0" applyFont="1"/>
    <xf numFmtId="2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8" fillId="0" borderId="0" xfId="0" applyFont="1" applyFill="1" applyBorder="1"/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1" fontId="13" fillId="0" borderId="0" xfId="0" applyNumberFormat="1" applyFont="1" applyAlignment="1" applyProtection="1">
      <alignment horizontal="center"/>
      <protection locked="0"/>
    </xf>
    <xf numFmtId="1" fontId="12" fillId="0" borderId="2" xfId="0" applyNumberFormat="1" applyFont="1" applyBorder="1" applyAlignment="1" applyProtection="1">
      <alignment horizontal="center"/>
      <protection locked="0"/>
    </xf>
    <xf numFmtId="0" fontId="9" fillId="0" borderId="0" xfId="0" applyFont="1" applyBorder="1"/>
    <xf numFmtId="0" fontId="11" fillId="0" borderId="3" xfId="0" applyFont="1" applyBorder="1"/>
    <xf numFmtId="1" fontId="12" fillId="0" borderId="4" xfId="0" applyNumberFormat="1" applyFont="1" applyBorder="1" applyAlignment="1" applyProtection="1">
      <alignment horizontal="center"/>
      <protection locked="0"/>
    </xf>
    <xf numFmtId="0" fontId="14" fillId="0" borderId="0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5" xfId="0" applyFont="1" applyBorder="1"/>
    <xf numFmtId="0" fontId="12" fillId="0" borderId="6" xfId="0" applyFont="1" applyBorder="1" applyAlignment="1" applyProtection="1">
      <alignment horizontal="center"/>
      <protection locked="0"/>
    </xf>
    <xf numFmtId="0" fontId="11" fillId="0" borderId="0" xfId="0" applyFont="1" applyBorder="1"/>
    <xf numFmtId="0" fontId="15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/>
    <xf numFmtId="0" fontId="11" fillId="0" borderId="7" xfId="0" applyFont="1" applyBorder="1"/>
    <xf numFmtId="0" fontId="10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9" xfId="0" applyFont="1" applyBorder="1"/>
    <xf numFmtId="0" fontId="10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1" fontId="11" fillId="0" borderId="4" xfId="0" applyNumberFormat="1" applyFont="1" applyBorder="1" applyAlignment="1">
      <alignment horizontal="center"/>
    </xf>
    <xf numFmtId="166" fontId="11" fillId="0" borderId="8" xfId="0" applyNumberFormat="1" applyFont="1" applyBorder="1" applyAlignment="1" applyProtection="1">
      <alignment horizontal="center"/>
    </xf>
    <xf numFmtId="166" fontId="11" fillId="0" borderId="2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167" fontId="11" fillId="0" borderId="12" xfId="0" applyNumberFormat="1" applyFont="1" applyBorder="1" applyAlignment="1" applyProtection="1">
      <alignment horizontal="center"/>
    </xf>
    <xf numFmtId="167" fontId="11" fillId="0" borderId="4" xfId="0" applyNumberFormat="1" applyFont="1" applyBorder="1" applyAlignment="1" applyProtection="1">
      <alignment horizontal="center"/>
    </xf>
    <xf numFmtId="168" fontId="11" fillId="0" borderId="13" xfId="0" applyNumberFormat="1" applyFont="1" applyBorder="1" applyAlignment="1" applyProtection="1">
      <alignment horizontal="center"/>
    </xf>
    <xf numFmtId="168" fontId="11" fillId="0" borderId="14" xfId="0" applyNumberFormat="1" applyFont="1" applyBorder="1" applyAlignment="1" applyProtection="1">
      <alignment horizontal="center"/>
    </xf>
    <xf numFmtId="9" fontId="4" fillId="0" borderId="0" xfId="0" applyNumberFormat="1" applyFont="1" applyBorder="1"/>
    <xf numFmtId="9" fontId="14" fillId="0" borderId="0" xfId="0" applyNumberFormat="1" applyFont="1" applyBorder="1" applyAlignment="1" applyProtection="1">
      <alignment horizontal="center"/>
    </xf>
    <xf numFmtId="169" fontId="11" fillId="0" borderId="12" xfId="0" applyNumberFormat="1" applyFont="1" applyBorder="1" applyAlignment="1" applyProtection="1">
      <alignment horizontal="center"/>
    </xf>
    <xf numFmtId="169" fontId="11" fillId="0" borderId="4" xfId="0" applyNumberFormat="1" applyFont="1" applyBorder="1" applyAlignment="1" applyProtection="1">
      <alignment horizontal="center"/>
    </xf>
    <xf numFmtId="0" fontId="11" fillId="0" borderId="15" xfId="0" applyFont="1" applyBorder="1"/>
    <xf numFmtId="171" fontId="11" fillId="0" borderId="16" xfId="0" applyNumberFormat="1" applyFont="1" applyBorder="1" applyAlignment="1" applyProtection="1">
      <alignment horizontal="center"/>
    </xf>
    <xf numFmtId="171" fontId="11" fillId="0" borderId="6" xfId="0" applyNumberFormat="1" applyFont="1" applyBorder="1" applyAlignment="1" applyProtection="1">
      <alignment horizontal="center"/>
    </xf>
    <xf numFmtId="0" fontId="17" fillId="0" borderId="0" xfId="0" applyFont="1" applyBorder="1"/>
    <xf numFmtId="171" fontId="11" fillId="0" borderId="0" xfId="0" applyNumberFormat="1" applyFont="1" applyBorder="1" applyAlignment="1" applyProtection="1">
      <alignment horizontal="center"/>
    </xf>
    <xf numFmtId="0" fontId="18" fillId="0" borderId="0" xfId="0" applyFont="1" applyBorder="1"/>
    <xf numFmtId="9" fontId="11" fillId="0" borderId="0" xfId="0" applyNumberFormat="1" applyFont="1" applyBorder="1" applyAlignment="1" applyProtection="1"/>
    <xf numFmtId="9" fontId="11" fillId="0" borderId="0" xfId="0" applyNumberFormat="1" applyFont="1" applyBorder="1" applyAlignment="1" applyProtection="1">
      <alignment horizontal="center"/>
    </xf>
    <xf numFmtId="0" fontId="17" fillId="0" borderId="7" xfId="0" applyFont="1" applyBorder="1"/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" fontId="15" fillId="0" borderId="8" xfId="0" applyNumberFormat="1" applyFont="1" applyBorder="1" applyAlignment="1" applyProtection="1">
      <alignment horizontal="center"/>
    </xf>
    <xf numFmtId="1" fontId="15" fillId="0" borderId="19" xfId="0" applyNumberFormat="1" applyFont="1" applyBorder="1" applyAlignment="1" applyProtection="1">
      <alignment horizontal="center"/>
    </xf>
    <xf numFmtId="1" fontId="15" fillId="0" borderId="16" xfId="0" applyNumberFormat="1" applyFont="1" applyBorder="1" applyAlignment="1" applyProtection="1">
      <alignment horizontal="center"/>
    </xf>
    <xf numFmtId="1" fontId="15" fillId="0" borderId="20" xfId="0" applyNumberFormat="1" applyFont="1" applyBorder="1" applyAlignment="1" applyProtection="1">
      <alignment horizontal="center"/>
    </xf>
    <xf numFmtId="166" fontId="11" fillId="0" borderId="21" xfId="0" applyNumberFormat="1" applyFont="1" applyBorder="1" applyAlignment="1" applyProtection="1">
      <alignment horizontal="center"/>
    </xf>
    <xf numFmtId="166" fontId="11" fillId="0" borderId="22" xfId="0" applyNumberFormat="1" applyFont="1" applyBorder="1" applyAlignment="1" applyProtection="1">
      <alignment horizontal="center"/>
    </xf>
    <xf numFmtId="0" fontId="11" fillId="0" borderId="9" xfId="0" applyFont="1" applyFill="1" applyBorder="1"/>
    <xf numFmtId="1" fontId="11" fillId="0" borderId="12" xfId="0" applyNumberFormat="1" applyFont="1" applyBorder="1" applyAlignment="1">
      <alignment horizontal="center"/>
    </xf>
    <xf numFmtId="9" fontId="11" fillId="0" borderId="12" xfId="0" applyNumberFormat="1" applyFont="1" applyBorder="1" applyAlignment="1" applyProtection="1">
      <alignment horizontal="center"/>
    </xf>
    <xf numFmtId="9" fontId="11" fillId="0" borderId="23" xfId="0" applyNumberFormat="1" applyFont="1" applyBorder="1" applyAlignment="1" applyProtection="1">
      <alignment horizontal="center"/>
    </xf>
    <xf numFmtId="0" fontId="5" fillId="0" borderId="0" xfId="0" applyFont="1"/>
    <xf numFmtId="172" fontId="11" fillId="0" borderId="16" xfId="0" applyNumberFormat="1" applyFont="1" applyBorder="1" applyAlignment="1" applyProtection="1">
      <alignment horizontal="center"/>
    </xf>
    <xf numFmtId="172" fontId="11" fillId="0" borderId="6" xfId="0" applyNumberFormat="1" applyFont="1" applyBorder="1" applyAlignment="1" applyProtection="1">
      <alignment horizontal="center"/>
    </xf>
    <xf numFmtId="0" fontId="19" fillId="0" borderId="0" xfId="0" applyFont="1" applyBorder="1"/>
    <xf numFmtId="173" fontId="11" fillId="0" borderId="0" xfId="0" applyNumberFormat="1" applyFont="1" applyBorder="1" applyAlignment="1" applyProtection="1">
      <alignment horizontal="center"/>
    </xf>
    <xf numFmtId="0" fontId="20" fillId="0" borderId="0" xfId="0" applyFont="1" applyBorder="1"/>
    <xf numFmtId="173" fontId="21" fillId="0" borderId="0" xfId="0" applyNumberFormat="1" applyFont="1" applyBorder="1" applyAlignment="1" applyProtection="1">
      <alignment horizontal="center"/>
    </xf>
    <xf numFmtId="0" fontId="22" fillId="0" borderId="0" xfId="0" applyFont="1" applyBorder="1"/>
    <xf numFmtId="0" fontId="23" fillId="0" borderId="0" xfId="0" applyFont="1" applyBorder="1"/>
    <xf numFmtId="9" fontId="23" fillId="0" borderId="0" xfId="0" applyNumberFormat="1" applyFont="1" applyBorder="1"/>
    <xf numFmtId="9" fontId="24" fillId="0" borderId="0" xfId="0" applyNumberFormat="1" applyFont="1" applyBorder="1" applyAlignment="1" applyProtection="1">
      <alignment horizontal="center"/>
    </xf>
    <xf numFmtId="0" fontId="25" fillId="0" borderId="0" xfId="0" applyFont="1" applyBorder="1"/>
    <xf numFmtId="173" fontId="26" fillId="0" borderId="0" xfId="0" applyNumberFormat="1" applyFont="1" applyBorder="1" applyAlignment="1" applyProtection="1">
      <alignment horizontal="center"/>
    </xf>
    <xf numFmtId="0" fontId="3" fillId="0" borderId="0" xfId="0" applyFont="1"/>
    <xf numFmtId="9" fontId="26" fillId="0" borderId="0" xfId="0" applyNumberFormat="1" applyFont="1" applyBorder="1" applyAlignment="1" applyProtection="1">
      <alignment horizontal="center"/>
    </xf>
    <xf numFmtId="1" fontId="26" fillId="0" borderId="0" xfId="0" applyNumberFormat="1" applyFont="1" applyBorder="1" applyAlignment="1" applyProtection="1">
      <alignment horizontal="right"/>
    </xf>
    <xf numFmtId="1" fontId="26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/>
    <xf numFmtId="0" fontId="14" fillId="0" borderId="0" xfId="0" applyFont="1" applyBorder="1" applyProtection="1"/>
    <xf numFmtId="0" fontId="4" fillId="0" borderId="0" xfId="0" applyFont="1" applyBorder="1" applyProtection="1">
      <protection locked="0"/>
    </xf>
    <xf numFmtId="0" fontId="25" fillId="0" borderId="0" xfId="0" applyFont="1" applyBorder="1" applyProtection="1"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1" fontId="26" fillId="0" borderId="0" xfId="0" applyNumberFormat="1" applyFont="1" applyBorder="1"/>
    <xf numFmtId="174" fontId="26" fillId="0" borderId="0" xfId="0" applyNumberFormat="1" applyFont="1" applyBorder="1"/>
    <xf numFmtId="165" fontId="26" fillId="0" borderId="0" xfId="0" applyNumberFormat="1" applyFont="1" applyBorder="1"/>
    <xf numFmtId="175" fontId="14" fillId="0" borderId="0" xfId="0" applyNumberFormat="1" applyFont="1" applyBorder="1" applyAlignment="1" applyProtection="1">
      <alignment horizontal="center"/>
    </xf>
    <xf numFmtId="2" fontId="26" fillId="0" borderId="0" xfId="0" applyNumberFormat="1" applyFont="1" applyBorder="1" applyAlignment="1" applyProtection="1">
      <alignment horizontal="right"/>
    </xf>
    <xf numFmtId="2" fontId="26" fillId="0" borderId="0" xfId="0" applyNumberFormat="1" applyFont="1" applyBorder="1" applyAlignment="1">
      <alignment horizontal="right"/>
    </xf>
    <xf numFmtId="176" fontId="26" fillId="0" borderId="0" xfId="0" applyNumberFormat="1" applyFont="1" applyBorder="1" applyAlignment="1" applyProtection="1">
      <alignment horizontal="right"/>
    </xf>
    <xf numFmtId="174" fontId="26" fillId="0" borderId="0" xfId="0" applyNumberFormat="1" applyFont="1" applyBorder="1" applyAlignment="1" applyProtection="1">
      <alignment horizontal="right"/>
    </xf>
    <xf numFmtId="164" fontId="26" fillId="0" borderId="0" xfId="0" applyNumberFormat="1" applyFont="1" applyBorder="1" applyAlignment="1" applyProtection="1">
      <alignment horizontal="right"/>
    </xf>
    <xf numFmtId="176" fontId="21" fillId="0" borderId="0" xfId="0" applyNumberFormat="1" applyFont="1" applyBorder="1" applyAlignment="1">
      <alignment horizontal="right"/>
    </xf>
    <xf numFmtId="2" fontId="21" fillId="0" borderId="0" xfId="0" applyNumberFormat="1" applyFont="1" applyBorder="1" applyAlignment="1">
      <alignment horizontal="right"/>
    </xf>
    <xf numFmtId="175" fontId="24" fillId="0" borderId="0" xfId="0" applyNumberFormat="1" applyFont="1" applyBorder="1" applyAlignment="1" applyProtection="1">
      <alignment horizontal="center"/>
    </xf>
    <xf numFmtId="164" fontId="21" fillId="0" borderId="0" xfId="0" applyNumberFormat="1" applyFont="1" applyBorder="1" applyAlignment="1" applyProtection="1">
      <alignment horizontal="right"/>
    </xf>
    <xf numFmtId="164" fontId="24" fillId="0" borderId="0" xfId="0" applyNumberFormat="1" applyFont="1" applyBorder="1" applyAlignment="1" applyProtection="1">
      <alignment horizontal="center"/>
    </xf>
    <xf numFmtId="1" fontId="21" fillId="0" borderId="0" xfId="0" applyNumberFormat="1" applyFont="1" applyBorder="1" applyAlignment="1" applyProtection="1">
      <alignment horizontal="right"/>
    </xf>
    <xf numFmtId="177" fontId="24" fillId="0" borderId="0" xfId="0" applyNumberFormat="1" applyFont="1" applyBorder="1" applyAlignment="1" applyProtection="1">
      <alignment horizontal="center"/>
    </xf>
    <xf numFmtId="178" fontId="24" fillId="0" borderId="0" xfId="0" applyNumberFormat="1" applyFont="1" applyBorder="1" applyAlignment="1" applyProtection="1">
      <alignment horizontal="center"/>
    </xf>
    <xf numFmtId="0" fontId="0" fillId="0" borderId="0" xfId="0" applyBorder="1"/>
    <xf numFmtId="179" fontId="24" fillId="0" borderId="0" xfId="0" applyNumberFormat="1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165" fontId="11" fillId="0" borderId="3" xfId="0" applyNumberFormat="1" applyFont="1" applyBorder="1" applyAlignment="1" applyProtection="1">
      <alignment horizontal="center"/>
      <protection hidden="1"/>
    </xf>
    <xf numFmtId="165" fontId="11" fillId="0" borderId="4" xfId="0" applyNumberFormat="1" applyFont="1" applyBorder="1" applyAlignment="1" applyProtection="1">
      <alignment horizontal="center"/>
      <protection hidden="1"/>
    </xf>
    <xf numFmtId="1" fontId="11" fillId="0" borderId="3" xfId="0" applyNumberFormat="1" applyFont="1" applyBorder="1" applyAlignment="1" applyProtection="1">
      <alignment horizontal="center"/>
      <protection hidden="1"/>
    </xf>
    <xf numFmtId="1" fontId="11" fillId="0" borderId="4" xfId="0" applyNumberFormat="1" applyFont="1" applyBorder="1" applyAlignment="1" applyProtection="1">
      <alignment horizontal="center"/>
      <protection hidden="1"/>
    </xf>
    <xf numFmtId="9" fontId="11" fillId="0" borderId="3" xfId="0" applyNumberFormat="1" applyFont="1" applyBorder="1" applyAlignment="1" applyProtection="1">
      <alignment horizontal="center"/>
      <protection hidden="1"/>
    </xf>
    <xf numFmtId="9" fontId="11" fillId="0" borderId="4" xfId="0" applyNumberFormat="1" applyFont="1" applyBorder="1" applyAlignment="1" applyProtection="1">
      <alignment horizontal="center"/>
      <protection hidden="1"/>
    </xf>
    <xf numFmtId="170" fontId="11" fillId="0" borderId="3" xfId="0" applyNumberFormat="1" applyFont="1" applyBorder="1" applyAlignment="1" applyProtection="1">
      <alignment horizontal="center"/>
      <protection hidden="1"/>
    </xf>
    <xf numFmtId="170" fontId="11" fillId="0" borderId="4" xfId="0" applyNumberFormat="1" applyFont="1" applyBorder="1" applyAlignment="1" applyProtection="1">
      <alignment horizontal="center"/>
      <protection hidden="1"/>
    </xf>
    <xf numFmtId="165" fontId="11" fillId="0" borderId="5" xfId="0" applyNumberFormat="1" applyFont="1" applyBorder="1" applyAlignment="1" applyProtection="1">
      <alignment horizontal="center"/>
      <protection hidden="1"/>
    </xf>
    <xf numFmtId="165" fontId="11" fillId="0" borderId="6" xfId="0" applyNumberFormat="1" applyFont="1" applyBorder="1" applyAlignment="1" applyProtection="1">
      <alignment horizontal="center"/>
      <protection hidden="1"/>
    </xf>
    <xf numFmtId="2" fontId="11" fillId="0" borderId="3" xfId="0" applyNumberFormat="1" applyFont="1" applyBorder="1" applyAlignment="1" applyProtection="1">
      <alignment horizontal="center"/>
      <protection hidden="1"/>
    </xf>
    <xf numFmtId="2" fontId="11" fillId="0" borderId="4" xfId="0" applyNumberFormat="1" applyFont="1" applyBorder="1" applyAlignment="1" applyProtection="1">
      <alignment horizontal="center"/>
      <protection hidden="1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10" fillId="0" borderId="2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5" fontId="11" fillId="0" borderId="25" xfId="0" applyNumberFormat="1" applyFont="1" applyBorder="1" applyAlignment="1" applyProtection="1">
      <alignment horizontal="center"/>
      <protection hidden="1"/>
    </xf>
    <xf numFmtId="0" fontId="10" fillId="0" borderId="24" xfId="0" applyFont="1" applyBorder="1" applyAlignment="1" applyProtection="1">
      <alignment horizontal="center"/>
      <protection hidden="1"/>
    </xf>
    <xf numFmtId="165" fontId="11" fillId="0" borderId="22" xfId="0" applyNumberFormat="1" applyFont="1" applyBorder="1" applyAlignment="1" applyProtection="1">
      <alignment horizontal="center"/>
      <protection hidden="1"/>
    </xf>
  </cellXfs>
  <cellStyles count="6">
    <cellStyle name="Hyperlink 2" xfId="2"/>
    <cellStyle name="Normal" xfId="0" builtinId="0"/>
    <cellStyle name="Normal 2" xfId="1"/>
    <cellStyle name="Normal 2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3"/>
            <c:intercept val="0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96192"/>
        <c:axId val="124302080"/>
      </c:scatterChart>
      <c:valAx>
        <c:axId val="12429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02080"/>
        <c:crosses val="autoZero"/>
        <c:crossBetween val="midCat"/>
      </c:valAx>
      <c:valAx>
        <c:axId val="124302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2961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Temperature of Incoming Air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716736"/>
        <c:axId val="125829504"/>
      </c:scatterChart>
      <c:valAx>
        <c:axId val="125716736"/>
        <c:scaling>
          <c:orientation val="minMax"/>
          <c:max val="1.4166666659999874"/>
          <c:min val="0.4166666600000028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[$-409]h:mm\ AM/P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829504"/>
        <c:crosses val="autoZero"/>
        <c:crossBetween val="midCat"/>
        <c:majorUnit val="8.3333333000000023E-2"/>
      </c:valAx>
      <c:valAx>
        <c:axId val="12582950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7167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Relative Humidity of Incoming Air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35424"/>
        <c:axId val="128337024"/>
      </c:scatterChart>
      <c:valAx>
        <c:axId val="127335424"/>
        <c:scaling>
          <c:orientation val="minMax"/>
          <c:max val="1.4166666599999838"/>
          <c:min val="0.4166666666000024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[$-409]h:mm\ AM/P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337024"/>
        <c:crosses val="autoZero"/>
        <c:crossBetween val="midCat"/>
        <c:majorUnit val="8.3333300000000027E-2"/>
      </c:valAx>
      <c:valAx>
        <c:axId val="128337024"/>
        <c:scaling>
          <c:orientation val="minMax"/>
          <c:max val="10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Temperature/Rh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54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348928"/>
        <c:axId val="128350464"/>
      </c:barChart>
      <c:catAx>
        <c:axId val="1283489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8350464"/>
        <c:crosses val="autoZero"/>
        <c:auto val="1"/>
        <c:lblAlgn val="ctr"/>
        <c:lblOffset val="100"/>
        <c:tickMarkSkip val="1"/>
        <c:noMultiLvlLbl val="0"/>
      </c:catAx>
      <c:valAx>
        <c:axId val="12835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8348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46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93</xdr:row>
      <xdr:rowOff>0</xdr:rowOff>
    </xdr:from>
    <xdr:to>
      <xdr:col>10</xdr:col>
      <xdr:colOff>0</xdr:colOff>
      <xdr:row>93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93</xdr:row>
      <xdr:rowOff>0</xdr:rowOff>
    </xdr:from>
    <xdr:to>
      <xdr:col>10</xdr:col>
      <xdr:colOff>9525</xdr:colOff>
      <xdr:row>93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46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shop\tunnel%20school%202014\spreadsheets\2014%20UGA%20Tunnel%20Ventilation%20Workshop%20Spreadsheets-%20metri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/AppData/Local/Temp/PsychProcess09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ultry house heat gain "/>
      <sheetName val="Tunnel fan comparison"/>
      <sheetName val="Evap cooling system design"/>
      <sheetName val="Pad set temp simulator 2014"/>
      <sheetName val="conversions"/>
      <sheetName val="Sheet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xing"/>
      <sheetName val="Heat Rec'ry"/>
      <sheetName val="Htg Coil"/>
      <sheetName val="Clg-Coil"/>
      <sheetName val="Clg Coil-BP"/>
    </sheetNames>
    <sheetDataSet>
      <sheetData sheetId="0">
        <row r="6">
          <cell r="B6">
            <v>5000</v>
          </cell>
          <cell r="F6">
            <v>1000</v>
          </cell>
        </row>
        <row r="10">
          <cell r="B10" t="e">
            <v>#NAME?</v>
          </cell>
          <cell r="F10" t="e">
            <v>#NAME?</v>
          </cell>
        </row>
        <row r="13">
          <cell r="D13" t="e">
            <v>#NAME?</v>
          </cell>
        </row>
        <row r="15">
          <cell r="D15" t="e">
            <v>#NAME?</v>
          </cell>
        </row>
        <row r="16">
          <cell r="D16" t="e">
            <v>#NAME?</v>
          </cell>
        </row>
        <row r="18">
          <cell r="D18" t="e">
            <v>#VALUE!</v>
          </cell>
        </row>
        <row r="22">
          <cell r="D22" t="e">
            <v>#NAME?</v>
          </cell>
        </row>
      </sheetData>
      <sheetData sheetId="1">
        <row r="6">
          <cell r="B6">
            <v>70</v>
          </cell>
          <cell r="F6">
            <v>75</v>
          </cell>
        </row>
        <row r="7">
          <cell r="B7">
            <v>65</v>
          </cell>
          <cell r="F7">
            <v>63</v>
          </cell>
        </row>
        <row r="9">
          <cell r="B9">
            <v>10000</v>
          </cell>
          <cell r="F9">
            <v>96</v>
          </cell>
        </row>
        <row r="10">
          <cell r="F10">
            <v>75</v>
          </cell>
        </row>
        <row r="11">
          <cell r="B11">
            <v>41883.187178557091</v>
          </cell>
        </row>
        <row r="12">
          <cell r="B12">
            <v>0</v>
          </cell>
        </row>
        <row r="14">
          <cell r="E14">
            <v>280.08483792107023</v>
          </cell>
          <cell r="H14">
            <v>81.3</v>
          </cell>
        </row>
        <row r="15">
          <cell r="B15">
            <v>2000</v>
          </cell>
          <cell r="E15">
            <v>151.54765823018138</v>
          </cell>
          <cell r="H15">
            <v>67.300000000012744</v>
          </cell>
        </row>
        <row r="18">
          <cell r="B18">
            <v>9.5379764374263539E-3</v>
          </cell>
          <cell r="E18">
            <v>1.3841563374104224E-2</v>
          </cell>
          <cell r="H18">
            <v>1.1044231865263609E-2</v>
          </cell>
        </row>
        <row r="21">
          <cell r="E21">
            <v>0.24614565413810227</v>
          </cell>
        </row>
        <row r="22">
          <cell r="B22">
            <v>28.437407615475657</v>
          </cell>
          <cell r="E22">
            <v>38.315881537182399</v>
          </cell>
          <cell r="H22">
            <v>31.628595855531479</v>
          </cell>
        </row>
        <row r="23">
          <cell r="E23">
            <v>14.325557351738064</v>
          </cell>
        </row>
      </sheetData>
      <sheetData sheetId="2">
        <row r="3">
          <cell r="B3">
            <v>2000</v>
          </cell>
          <cell r="J3">
            <v>20</v>
          </cell>
        </row>
        <row r="4">
          <cell r="B4">
            <v>75</v>
          </cell>
          <cell r="J4">
            <v>15</v>
          </cell>
        </row>
        <row r="5">
          <cell r="J5">
            <v>20</v>
          </cell>
        </row>
        <row r="6">
          <cell r="B6">
            <v>8923.5438907123807</v>
          </cell>
          <cell r="F6">
            <v>102.5849952388125</v>
          </cell>
          <cell r="J6">
            <v>7.3535100911001491E-4</v>
          </cell>
        </row>
        <row r="7">
          <cell r="F7">
            <v>68.184995238820591</v>
          </cell>
        </row>
        <row r="8">
          <cell r="B8">
            <v>68</v>
          </cell>
        </row>
        <row r="9">
          <cell r="B9">
            <v>56</v>
          </cell>
        </row>
        <row r="10">
          <cell r="B10">
            <v>0</v>
          </cell>
          <cell r="F10">
            <v>6.7944449113485194E-3</v>
          </cell>
        </row>
        <row r="11">
          <cell r="B11">
            <v>14.696</v>
          </cell>
        </row>
        <row r="12">
          <cell r="B12">
            <v>29.921349920000001</v>
          </cell>
        </row>
        <row r="14">
          <cell r="J14" t="str">
            <v>Sat Steam</v>
          </cell>
        </row>
        <row r="15">
          <cell r="B15">
            <v>6.7944449113485194E-3</v>
          </cell>
          <cell r="J15">
            <v>212</v>
          </cell>
        </row>
        <row r="16">
          <cell r="J16">
            <v>1150.04</v>
          </cell>
        </row>
        <row r="17">
          <cell r="J17">
            <v>10.813718074914609</v>
          </cell>
        </row>
        <row r="18">
          <cell r="B18">
            <v>0.24301673354063874</v>
          </cell>
          <cell r="J18">
            <v>0.47031306094073067</v>
          </cell>
        </row>
        <row r="20">
          <cell r="B20">
            <v>13.447572115927612</v>
          </cell>
        </row>
      </sheetData>
      <sheetData sheetId="3">
        <row r="3">
          <cell r="B3">
            <v>4000</v>
          </cell>
          <cell r="I3">
            <v>2</v>
          </cell>
        </row>
        <row r="4">
          <cell r="B4">
            <v>120</v>
          </cell>
          <cell r="I4">
            <v>65</v>
          </cell>
        </row>
        <row r="5">
          <cell r="B5">
            <v>100</v>
          </cell>
          <cell r="I5">
            <v>82</v>
          </cell>
        </row>
        <row r="6">
          <cell r="B6">
            <v>3897.1217604865501</v>
          </cell>
          <cell r="I6">
            <v>1.8883691147118353</v>
          </cell>
        </row>
        <row r="7">
          <cell r="I7">
            <v>5.8608529230995376</v>
          </cell>
        </row>
        <row r="8">
          <cell r="B8">
            <v>75</v>
          </cell>
          <cell r="F8">
            <v>17537.047922189475</v>
          </cell>
          <cell r="I8">
            <v>114.13914707690046</v>
          </cell>
        </row>
        <row r="9">
          <cell r="B9">
            <v>63</v>
          </cell>
          <cell r="I9">
            <v>94.139147076900457</v>
          </cell>
        </row>
        <row r="10">
          <cell r="B10">
            <v>0</v>
          </cell>
        </row>
        <row r="11">
          <cell r="B11">
            <v>14.696</v>
          </cell>
        </row>
        <row r="12">
          <cell r="B12">
            <v>29.921349920000001</v>
          </cell>
          <cell r="I12">
            <v>53.020893425035787</v>
          </cell>
        </row>
        <row r="13">
          <cell r="I13">
            <v>52.920893425051702</v>
          </cell>
        </row>
        <row r="15">
          <cell r="B15">
            <v>9.5330130152183248E-3</v>
          </cell>
          <cell r="I15">
            <v>8.4614514704775042E-3</v>
          </cell>
        </row>
        <row r="18">
          <cell r="B18">
            <v>0.24423265777875694</v>
          </cell>
        </row>
        <row r="20">
          <cell r="B20">
            <v>13.685313575287097</v>
          </cell>
        </row>
      </sheetData>
      <sheetData sheetId="4">
        <row r="4">
          <cell r="B4">
            <v>4000</v>
          </cell>
          <cell r="F4">
            <v>17325.769365781845</v>
          </cell>
        </row>
        <row r="5">
          <cell r="B5">
            <v>47</v>
          </cell>
        </row>
        <row r="6">
          <cell r="B6">
            <v>0.1</v>
          </cell>
        </row>
        <row r="8">
          <cell r="F8">
            <v>50.28</v>
          </cell>
        </row>
        <row r="9">
          <cell r="B9">
            <v>79.8</v>
          </cell>
          <cell r="F9">
            <v>49.480000000015764</v>
          </cell>
        </row>
        <row r="10">
          <cell r="B10">
            <v>67.099999999999994</v>
          </cell>
          <cell r="F10">
            <v>6.812974961532701E-3</v>
          </cell>
        </row>
        <row r="11">
          <cell r="B11">
            <v>0</v>
          </cell>
        </row>
        <row r="12">
          <cell r="F12">
            <v>201.02158157377792</v>
          </cell>
        </row>
        <row r="13">
          <cell r="F13">
            <v>125.31448285034858</v>
          </cell>
        </row>
        <row r="16">
          <cell r="B16">
            <v>1.1294677954511717E-2</v>
          </cell>
          <cell r="F16">
            <v>7.2611452608306029E-3</v>
          </cell>
        </row>
        <row r="19">
          <cell r="B19">
            <v>0.24501483701180318</v>
          </cell>
        </row>
        <row r="20">
          <cell r="B20">
            <v>31.535837303278825</v>
          </cell>
          <cell r="F20">
            <v>19.933375252110537</v>
          </cell>
        </row>
        <row r="21">
          <cell r="B21">
            <v>13.852198706626945</v>
          </cell>
          <cell r="F21">
            <v>13.010798391517705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4"/>
  <sheetViews>
    <sheetView tabSelected="1" zoomScale="75" zoomScaleNormal="75" workbookViewId="0"/>
  </sheetViews>
  <sheetFormatPr defaultRowHeight="20.25" x14ac:dyDescent="0.3"/>
  <cols>
    <col min="1" max="1" width="2.5703125" customWidth="1"/>
    <col min="2" max="2" width="65.42578125" customWidth="1"/>
    <col min="3" max="4" width="32.7109375" customWidth="1"/>
    <col min="5" max="5" width="22.7109375" style="2" hidden="1" customWidth="1"/>
    <col min="6" max="6" width="22.7109375" style="3" hidden="1" customWidth="1"/>
    <col min="7" max="7" width="16.7109375" style="2" customWidth="1"/>
    <col min="8" max="8" width="18.7109375" style="2" customWidth="1"/>
    <col min="9" max="9" width="22.7109375" style="2" customWidth="1"/>
    <col min="10" max="10" width="22.7109375" style="3" customWidth="1"/>
    <col min="11" max="16" width="9.140625" style="2"/>
    <col min="17" max="19" width="9.140625" style="4"/>
    <col min="20" max="43" width="9.140625" style="67"/>
  </cols>
  <sheetData>
    <row r="1" spans="1:18" ht="33" x14ac:dyDescent="0.45">
      <c r="B1" s="1" t="s">
        <v>50</v>
      </c>
    </row>
    <row r="2" spans="1:18" x14ac:dyDescent="0.3">
      <c r="B2" s="5" t="s">
        <v>52</v>
      </c>
    </row>
    <row r="3" spans="1:18" x14ac:dyDescent="0.3">
      <c r="B3" s="6"/>
      <c r="I3" s="7"/>
      <c r="J3" s="7"/>
      <c r="K3" s="7"/>
      <c r="L3" s="7"/>
      <c r="M3" s="8"/>
      <c r="N3" s="8"/>
      <c r="O3" s="8"/>
      <c r="P3" s="8"/>
      <c r="Q3" s="9"/>
      <c r="R3" s="9"/>
    </row>
    <row r="4" spans="1:18" x14ac:dyDescent="0.3">
      <c r="B4" s="10" t="s">
        <v>0</v>
      </c>
      <c r="I4" s="7"/>
      <c r="J4" s="7"/>
      <c r="K4" s="7"/>
      <c r="L4" s="7"/>
      <c r="M4" s="8"/>
      <c r="N4" s="8"/>
      <c r="O4" s="8"/>
      <c r="P4" s="8"/>
      <c r="Q4" s="9"/>
      <c r="R4" s="9"/>
    </row>
    <row r="5" spans="1:18" ht="24" thickBot="1" x14ac:dyDescent="0.4">
      <c r="A5" s="11"/>
      <c r="B5" s="12" t="s">
        <v>1</v>
      </c>
      <c r="C5" s="11"/>
      <c r="D5" s="11"/>
      <c r="E5" s="3"/>
      <c r="G5" s="3"/>
      <c r="H5" s="3"/>
      <c r="I5" s="3"/>
      <c r="K5" s="3"/>
    </row>
    <row r="6" spans="1:18" ht="23.25" x14ac:dyDescent="0.35">
      <c r="A6" s="11"/>
      <c r="B6" s="13" t="s">
        <v>2</v>
      </c>
      <c r="C6" s="111">
        <v>306000</v>
      </c>
      <c r="D6" s="14"/>
      <c r="E6" s="15">
        <f>+C6/1.7</f>
        <v>180000</v>
      </c>
      <c r="G6" s="3"/>
      <c r="H6" s="3"/>
      <c r="I6" s="3"/>
      <c r="K6" s="3"/>
    </row>
    <row r="7" spans="1:18" ht="23.25" x14ac:dyDescent="0.35">
      <c r="A7" s="16"/>
      <c r="B7" s="17" t="s">
        <v>3</v>
      </c>
      <c r="C7" s="112">
        <v>40</v>
      </c>
      <c r="D7" s="16"/>
      <c r="E7" s="18">
        <f>+(C7*9/5+32)</f>
        <v>104</v>
      </c>
      <c r="G7" s="3"/>
      <c r="H7" s="19"/>
      <c r="I7" s="3"/>
      <c r="K7" s="3"/>
    </row>
    <row r="8" spans="1:18" ht="23.25" x14ac:dyDescent="0.35">
      <c r="A8" s="16"/>
      <c r="B8" s="17" t="s">
        <v>4</v>
      </c>
      <c r="C8" s="18">
        <v>30</v>
      </c>
      <c r="D8" s="20"/>
      <c r="F8" s="21"/>
      <c r="G8" s="21"/>
      <c r="H8" s="21"/>
      <c r="I8" s="21"/>
      <c r="J8" s="21"/>
      <c r="K8" s="3"/>
    </row>
    <row r="9" spans="1:18" ht="24" thickBot="1" x14ac:dyDescent="0.4">
      <c r="A9" s="16"/>
      <c r="B9" s="22" t="s">
        <v>5</v>
      </c>
      <c r="C9" s="23">
        <v>1.53</v>
      </c>
      <c r="D9" s="20"/>
      <c r="E9" s="23">
        <f>+C9/0.305</f>
        <v>5.0163934426229506</v>
      </c>
      <c r="F9" s="21"/>
      <c r="G9" s="21"/>
      <c r="H9" s="21"/>
      <c r="I9" s="21"/>
      <c r="J9" s="21"/>
      <c r="K9" s="3"/>
    </row>
    <row r="10" spans="1:18" ht="23.25" x14ac:dyDescent="0.35">
      <c r="A10" s="16"/>
      <c r="B10" s="24"/>
      <c r="C10" s="25"/>
      <c r="E10" s="21"/>
      <c r="F10" s="21"/>
      <c r="G10" s="19"/>
      <c r="H10" s="21"/>
      <c r="I10" s="21"/>
      <c r="J10" s="21"/>
      <c r="K10" s="3"/>
    </row>
    <row r="11" spans="1:18" ht="24" thickBot="1" x14ac:dyDescent="0.4">
      <c r="A11" s="16"/>
      <c r="B11" s="26" t="s">
        <v>6</v>
      </c>
      <c r="C11" s="25"/>
      <c r="D11" s="20"/>
      <c r="E11" s="21"/>
      <c r="F11" s="21"/>
      <c r="G11" s="19"/>
      <c r="H11" s="21"/>
      <c r="I11" s="21"/>
      <c r="J11" s="21"/>
      <c r="K11" s="3"/>
    </row>
    <row r="12" spans="1:18" ht="24" thickBot="1" x14ac:dyDescent="0.4">
      <c r="A12" s="16"/>
      <c r="B12" s="27"/>
      <c r="C12" s="131" t="s">
        <v>7</v>
      </c>
      <c r="D12" s="131" t="s">
        <v>8</v>
      </c>
      <c r="E12" s="29" t="s">
        <v>9</v>
      </c>
      <c r="F12" s="28" t="s">
        <v>10</v>
      </c>
      <c r="G12" s="19"/>
      <c r="H12" s="21"/>
      <c r="I12" s="21"/>
      <c r="J12" s="21"/>
      <c r="K12" s="3"/>
    </row>
    <row r="13" spans="1:18" ht="24" thickBot="1" x14ac:dyDescent="0.4">
      <c r="A13" s="16"/>
      <c r="B13" s="30" t="s">
        <v>11</v>
      </c>
      <c r="C13" s="130">
        <f>+E13/200</f>
        <v>1.125</v>
      </c>
      <c r="D13" s="132">
        <f>+F13/200</f>
        <v>1.75</v>
      </c>
      <c r="E13" s="31">
        <v>225</v>
      </c>
      <c r="F13" s="32">
        <v>350</v>
      </c>
      <c r="G13" s="19"/>
      <c r="H13" s="21"/>
      <c r="I13" s="21"/>
      <c r="J13" s="21"/>
      <c r="K13" s="3"/>
    </row>
    <row r="14" spans="1:18" ht="26.25" x14ac:dyDescent="0.4">
      <c r="A14" s="16"/>
      <c r="B14" s="30" t="s">
        <v>12</v>
      </c>
      <c r="C14" s="115">
        <f>+E14*0.305*0.305</f>
        <v>74.42</v>
      </c>
      <c r="D14" s="116">
        <f>+F14*0.305*0.305</f>
        <v>47.841428571428573</v>
      </c>
      <c r="E14" s="34">
        <f>+E6/225</f>
        <v>800</v>
      </c>
      <c r="F14" s="35">
        <f>+E6/350</f>
        <v>514.28571428571433</v>
      </c>
      <c r="G14" s="3"/>
      <c r="H14" s="36"/>
      <c r="I14" s="37"/>
      <c r="J14" s="37"/>
      <c r="K14" s="3"/>
    </row>
    <row r="15" spans="1:18" ht="26.25" x14ac:dyDescent="0.4">
      <c r="A15" s="16"/>
      <c r="B15" s="30" t="s">
        <v>13</v>
      </c>
      <c r="C15" s="115">
        <f>+E15*0.305</f>
        <v>48.640522875816991</v>
      </c>
      <c r="D15" s="116">
        <f>+F15*0.305</f>
        <v>31.268907563025216</v>
      </c>
      <c r="E15" s="38">
        <f>+E14/E9</f>
        <v>159.47712418300654</v>
      </c>
      <c r="F15" s="39">
        <f>+F14/E9</f>
        <v>102.52100840336136</v>
      </c>
      <c r="G15" s="3"/>
      <c r="H15" s="36"/>
      <c r="I15" s="37"/>
      <c r="J15" s="37"/>
      <c r="K15" s="3"/>
    </row>
    <row r="16" spans="1:18" ht="26.25" x14ac:dyDescent="0.4">
      <c r="A16" s="16"/>
      <c r="B16" s="30" t="s">
        <v>14</v>
      </c>
      <c r="C16" s="115">
        <f>+E16*254</f>
        <v>11.858625</v>
      </c>
      <c r="D16" s="116">
        <f>+F16*254</f>
        <v>13.322299999999998</v>
      </c>
      <c r="E16" s="40">
        <f>0.0000007*E13^2+0.00005*E13</f>
        <v>4.66875E-2</v>
      </c>
      <c r="F16" s="41">
        <f>0.0000003*F13^2+0.00006*F13-0.0053</f>
        <v>5.2449999999999997E-2</v>
      </c>
      <c r="G16" s="3"/>
      <c r="H16" s="36"/>
      <c r="I16" s="37"/>
      <c r="J16" s="37"/>
      <c r="K16" s="3"/>
    </row>
    <row r="17" spans="1:11" ht="23.25" x14ac:dyDescent="0.35">
      <c r="A17" s="16"/>
      <c r="B17" s="30" t="s">
        <v>15</v>
      </c>
      <c r="C17" s="117">
        <f>1.9378*E13^-0.1805</f>
        <v>0.72902094690896557</v>
      </c>
      <c r="D17" s="118">
        <f>-0.0000005*F13^2+0.00004*F13+0.7918</f>
        <v>0.74454999999999993</v>
      </c>
      <c r="G17" s="42"/>
      <c r="H17" s="43"/>
      <c r="I17" s="43"/>
      <c r="J17" s="43"/>
      <c r="K17" s="3"/>
    </row>
    <row r="18" spans="1:11" ht="23.25" x14ac:dyDescent="0.35">
      <c r="A18" s="16"/>
      <c r="B18" s="30" t="s">
        <v>16</v>
      </c>
      <c r="C18" s="113">
        <f>+(E18-32)*5/9</f>
        <v>25.681790784444445</v>
      </c>
      <c r="D18" s="114">
        <f>+(F18-32)*5/9</f>
        <v>25.681790784444445</v>
      </c>
      <c r="E18" s="44">
        <f>+C47</f>
        <v>78.227223412000001</v>
      </c>
      <c r="F18" s="45">
        <f>+C47</f>
        <v>78.227223412000001</v>
      </c>
      <c r="G18" s="42"/>
      <c r="H18" s="43"/>
      <c r="I18" s="43"/>
      <c r="J18" s="43"/>
      <c r="K18" s="3"/>
    </row>
    <row r="19" spans="1:11" ht="23.25" x14ac:dyDescent="0.35">
      <c r="A19" s="16"/>
      <c r="B19" s="30" t="s">
        <v>17</v>
      </c>
      <c r="C19" s="113">
        <f>+(E19-32)*5/9</f>
        <v>29.561725559635008</v>
      </c>
      <c r="D19" s="114">
        <f>+(F19-32)*5/9</f>
        <v>29.339377328558118</v>
      </c>
      <c r="E19" s="44">
        <f>C40</f>
        <v>85.21110600734302</v>
      </c>
      <c r="F19" s="45">
        <f>D40</f>
        <v>84.810879191404609</v>
      </c>
      <c r="G19" s="42"/>
      <c r="H19" s="43"/>
      <c r="I19" s="43"/>
      <c r="J19" s="43"/>
      <c r="K19" s="3"/>
    </row>
    <row r="20" spans="1:11" ht="23.25" x14ac:dyDescent="0.35">
      <c r="A20" s="16"/>
      <c r="B20" s="30" t="s">
        <v>18</v>
      </c>
      <c r="C20" s="119">
        <f>+C53</f>
        <v>75.432354289777209</v>
      </c>
      <c r="D20" s="120">
        <f>+D53</f>
        <v>76.652386560153545</v>
      </c>
      <c r="G20" s="42"/>
      <c r="H20" s="43"/>
      <c r="I20" s="43"/>
      <c r="J20" s="43"/>
      <c r="K20" s="3"/>
    </row>
    <row r="21" spans="1:11" ht="24" thickBot="1" x14ac:dyDescent="0.4">
      <c r="A21" s="16"/>
      <c r="B21" s="46" t="s">
        <v>19</v>
      </c>
      <c r="C21" s="121">
        <f>+E21*3.8</f>
        <v>33.183690758746302</v>
      </c>
      <c r="D21" s="122">
        <f>+F21*3.8</f>
        <v>33.603062844630806</v>
      </c>
      <c r="E21" s="47">
        <f>+C63</f>
        <v>8.7325501996700794</v>
      </c>
      <c r="F21" s="48">
        <f>+D63</f>
        <v>8.8429112749028445</v>
      </c>
      <c r="G21" s="42"/>
      <c r="H21" s="43"/>
      <c r="I21" s="43"/>
      <c r="J21" s="43"/>
      <c r="K21" s="3"/>
    </row>
    <row r="22" spans="1:11" ht="23.25" x14ac:dyDescent="0.35">
      <c r="A22" s="16"/>
      <c r="B22" s="49"/>
      <c r="E22" s="50"/>
      <c r="F22" s="50"/>
      <c r="G22" s="42"/>
      <c r="H22" s="43"/>
      <c r="I22" s="43"/>
      <c r="J22" s="43"/>
      <c r="K22" s="3"/>
    </row>
    <row r="23" spans="1:11" ht="24" thickBot="1" x14ac:dyDescent="0.4">
      <c r="A23" s="16"/>
      <c r="B23" s="51" t="s">
        <v>20</v>
      </c>
      <c r="E23" s="52"/>
      <c r="F23" s="53"/>
      <c r="G23" s="42"/>
      <c r="H23" s="43"/>
      <c r="I23" s="43"/>
      <c r="J23" s="43"/>
      <c r="K23" s="3"/>
    </row>
    <row r="24" spans="1:11" ht="24" thickBot="1" x14ac:dyDescent="0.4">
      <c r="A24" s="16"/>
      <c r="B24" s="54"/>
      <c r="C24" s="128" t="s">
        <v>7</v>
      </c>
      <c r="D24" s="129" t="s">
        <v>8</v>
      </c>
      <c r="E24" s="55" t="s">
        <v>9</v>
      </c>
      <c r="F24" s="56" t="s">
        <v>10</v>
      </c>
      <c r="G24" s="42"/>
      <c r="H24" s="43"/>
      <c r="I24" s="43"/>
      <c r="J24" s="43"/>
      <c r="K24" s="3"/>
    </row>
    <row r="25" spans="1:11" ht="23.25" x14ac:dyDescent="0.35">
      <c r="A25" s="16"/>
      <c r="B25" s="30" t="s">
        <v>21</v>
      </c>
      <c r="C25" s="126">
        <v>48.8</v>
      </c>
      <c r="D25" s="127">
        <v>31.4</v>
      </c>
      <c r="E25" s="57">
        <f>+C25/0.305</f>
        <v>160</v>
      </c>
      <c r="F25" s="58">
        <f>+D25/0.305</f>
        <v>102.95081967213115</v>
      </c>
      <c r="G25" s="42"/>
      <c r="H25" s="43"/>
      <c r="I25" s="43"/>
      <c r="J25" s="43"/>
      <c r="K25" s="3"/>
    </row>
    <row r="26" spans="1:11" ht="24" thickBot="1" x14ac:dyDescent="0.4">
      <c r="A26" s="16"/>
      <c r="B26" s="30" t="s">
        <v>22</v>
      </c>
      <c r="C26" s="125">
        <v>1.53</v>
      </c>
      <c r="D26" s="112">
        <v>1.53</v>
      </c>
      <c r="E26" s="59">
        <f>+C26/0.305</f>
        <v>5.0163934426229506</v>
      </c>
      <c r="F26" s="60">
        <f>+D26/0.305</f>
        <v>5.0163934426229506</v>
      </c>
      <c r="G26" s="42"/>
      <c r="H26" s="43"/>
      <c r="I26" s="43"/>
      <c r="J26" s="43"/>
      <c r="K26" s="3"/>
    </row>
    <row r="27" spans="1:11" ht="23.25" x14ac:dyDescent="0.35">
      <c r="A27" s="16"/>
      <c r="B27" s="30" t="s">
        <v>23</v>
      </c>
      <c r="C27" s="115">
        <f>+E27*0.305*0.305</f>
        <v>74.663999999999987</v>
      </c>
      <c r="D27" s="116">
        <f>+F27*0.305*0.305</f>
        <v>48.041999999999994</v>
      </c>
      <c r="E27" s="61">
        <f>+E25*E26</f>
        <v>802.62295081967204</v>
      </c>
      <c r="F27" s="62">
        <f>+F25*F26</f>
        <v>516.44181671593651</v>
      </c>
      <c r="G27" s="42"/>
      <c r="H27" s="43"/>
      <c r="I27" s="43"/>
      <c r="J27" s="43"/>
      <c r="K27" s="3"/>
    </row>
    <row r="28" spans="1:11" ht="23.25" x14ac:dyDescent="0.35">
      <c r="A28" s="16"/>
      <c r="B28" s="63" t="s">
        <v>24</v>
      </c>
      <c r="C28" s="123">
        <f>+E28/200</f>
        <v>1.1213235294117647</v>
      </c>
      <c r="D28" s="124">
        <f>+F28/200</f>
        <v>1.7426938928437619</v>
      </c>
      <c r="E28" s="64">
        <f>+E39</f>
        <v>224.26470588235296</v>
      </c>
      <c r="F28" s="33">
        <f>+F39</f>
        <v>348.53877856875238</v>
      </c>
      <c r="G28" s="42"/>
      <c r="H28" s="43"/>
      <c r="I28" s="43"/>
      <c r="J28" s="43"/>
      <c r="K28" s="3"/>
    </row>
    <row r="29" spans="1:11" ht="23.25" x14ac:dyDescent="0.35">
      <c r="A29" s="16"/>
      <c r="B29" s="30" t="s">
        <v>14</v>
      </c>
      <c r="C29" s="115">
        <f>+E29*254</f>
        <v>11.790552011245676</v>
      </c>
      <c r="D29" s="116">
        <f>+F29*254</f>
        <v>13.222252134052059</v>
      </c>
      <c r="E29" s="40">
        <f>0.0000007*E28^2+0.00005*E28</f>
        <v>4.6419496107266443E-2</v>
      </c>
      <c r="F29" s="41">
        <f>0.0000003*F28^2+0.00006*F28-0.0053</f>
        <v>5.2056110763984483E-2</v>
      </c>
      <c r="G29" s="42"/>
      <c r="H29" s="43"/>
      <c r="I29" s="43">
        <v>1</v>
      </c>
      <c r="J29" s="43"/>
      <c r="K29" s="3"/>
    </row>
    <row r="30" spans="1:11" ht="23.25" x14ac:dyDescent="0.35">
      <c r="A30" s="16"/>
      <c r="B30" s="30" t="s">
        <v>15</v>
      </c>
      <c r="C30" s="117">
        <f>+E30</f>
        <v>0.72945180543465526</v>
      </c>
      <c r="D30" s="118">
        <f>+F30</f>
        <v>0.74500191105965119</v>
      </c>
      <c r="E30" s="65">
        <f>1.9378*E28^-0.1805</f>
        <v>0.72945180543465526</v>
      </c>
      <c r="F30" s="66">
        <f>-0.0000005*F28^2+0.00004*F28+0.7918</f>
        <v>0.74500191105965119</v>
      </c>
      <c r="G30" s="42"/>
      <c r="H30" s="43"/>
      <c r="I30" s="43"/>
      <c r="J30" s="43"/>
      <c r="K30" s="3"/>
    </row>
    <row r="31" spans="1:11" ht="23.25" x14ac:dyDescent="0.35">
      <c r="A31" s="16"/>
      <c r="B31" s="30" t="s">
        <v>16</v>
      </c>
      <c r="C31" s="113">
        <f>+(E31-32)*5/9</f>
        <v>25.681790784444445</v>
      </c>
      <c r="D31" s="114">
        <f>+(F31-32)*5/9</f>
        <v>25.681790784444445</v>
      </c>
      <c r="E31" s="44">
        <f>+C47</f>
        <v>78.227223412000001</v>
      </c>
      <c r="F31" s="45">
        <f>+D47</f>
        <v>78.227223412000001</v>
      </c>
      <c r="G31" s="42"/>
      <c r="H31" s="43"/>
      <c r="I31" s="43"/>
      <c r="J31" s="43"/>
      <c r="K31" s="3"/>
    </row>
    <row r="32" spans="1:11" ht="23.25" x14ac:dyDescent="0.35">
      <c r="A32" s="16"/>
      <c r="B32" s="30" t="s">
        <v>17</v>
      </c>
      <c r="C32" s="113">
        <f>+(E32-32)*5/9</f>
        <v>29.555556437121879</v>
      </c>
      <c r="D32" s="114">
        <f>+(F32-32)*5/9</f>
        <v>29.3329067714592</v>
      </c>
      <c r="E32" s="44">
        <f>+E40</f>
        <v>85.200001586819383</v>
      </c>
      <c r="F32" s="45">
        <f>+F40</f>
        <v>84.799232188626561</v>
      </c>
      <c r="G32" s="42"/>
      <c r="H32" s="43"/>
      <c r="I32" s="43"/>
      <c r="J32" s="43"/>
      <c r="K32" s="3"/>
    </row>
    <row r="33" spans="1:19" ht="23.25" x14ac:dyDescent="0.35">
      <c r="A33" s="16"/>
      <c r="B33" s="30" t="s">
        <v>18</v>
      </c>
      <c r="C33" s="119">
        <f>+E53</f>
        <v>75.465927806168779</v>
      </c>
      <c r="D33" s="120">
        <f>+F53</f>
        <v>76.688199727223775</v>
      </c>
      <c r="G33" s="42"/>
      <c r="H33" s="43"/>
      <c r="I33" s="43"/>
      <c r="J33" s="43"/>
      <c r="K33" s="3"/>
    </row>
    <row r="34" spans="1:19" ht="24" thickBot="1" x14ac:dyDescent="0.4">
      <c r="A34" s="16"/>
      <c r="B34" s="46" t="s">
        <v>51</v>
      </c>
      <c r="C34" s="121">
        <f>+E34*3.8</f>
        <v>33.195314611972769</v>
      </c>
      <c r="D34" s="122">
        <f>+F34*3.8</f>
        <v>33.615280061078501</v>
      </c>
      <c r="E34" s="68">
        <f>+E63</f>
        <v>8.7356091084138878</v>
      </c>
      <c r="F34" s="69">
        <f>+F63</f>
        <v>8.846126331862763</v>
      </c>
      <c r="G34" s="42"/>
      <c r="H34" s="43"/>
      <c r="I34" s="43"/>
      <c r="J34" s="43"/>
      <c r="K34" s="3"/>
    </row>
    <row r="35" spans="1:19" ht="23.25" x14ac:dyDescent="0.35">
      <c r="A35" s="16"/>
      <c r="B35" s="70"/>
      <c r="C35" s="71"/>
      <c r="D35" s="71"/>
      <c r="G35" s="42"/>
      <c r="H35" s="43"/>
      <c r="I35" s="43"/>
      <c r="J35" s="43"/>
      <c r="K35" s="3"/>
    </row>
    <row r="36" spans="1:19" ht="23.25" x14ac:dyDescent="0.35">
      <c r="A36" s="16"/>
      <c r="B36" s="72"/>
      <c r="C36" s="73"/>
      <c r="D36" s="73"/>
      <c r="E36" s="74"/>
      <c r="F36" s="75"/>
      <c r="G36" s="76"/>
      <c r="H36" s="77"/>
      <c r="I36" s="77"/>
      <c r="J36" s="77"/>
      <c r="K36" s="3"/>
    </row>
    <row r="37" spans="1:19" s="80" customFormat="1" ht="23.25" x14ac:dyDescent="0.35">
      <c r="A37" s="3"/>
      <c r="B37" s="78"/>
      <c r="C37" s="79"/>
      <c r="D37" s="79"/>
      <c r="E37" s="2"/>
      <c r="F37" s="3"/>
      <c r="G37" s="42"/>
      <c r="H37" s="43"/>
      <c r="I37" s="43"/>
      <c r="J37" s="43"/>
      <c r="K37" s="3"/>
      <c r="L37" s="2"/>
      <c r="M37" s="2"/>
      <c r="N37" s="2"/>
      <c r="O37" s="2"/>
      <c r="P37" s="2"/>
      <c r="Q37" s="2"/>
      <c r="R37" s="2"/>
      <c r="S37" s="2"/>
    </row>
    <row r="38" spans="1:19" s="80" customFormat="1" ht="23.25" x14ac:dyDescent="0.35">
      <c r="A38" s="3"/>
      <c r="B38" s="78" t="s">
        <v>25</v>
      </c>
      <c r="C38" s="79"/>
      <c r="D38" s="79"/>
      <c r="E38" s="81">
        <f>1.9378*E39^-0.1805</f>
        <v>0.72945180543465526</v>
      </c>
      <c r="F38" s="81">
        <f>-0.0000005*F39^2+0.00004*F39+0.7918</f>
        <v>0.74500191105965119</v>
      </c>
      <c r="G38" s="42"/>
      <c r="H38" s="43"/>
      <c r="I38" s="43"/>
      <c r="J38" s="43"/>
      <c r="K38" s="3"/>
      <c r="L38" s="2"/>
      <c r="M38" s="2"/>
      <c r="N38" s="2"/>
      <c r="O38" s="2"/>
      <c r="P38" s="2"/>
      <c r="Q38" s="2"/>
      <c r="R38" s="2"/>
      <c r="S38" s="2"/>
    </row>
    <row r="39" spans="1:19" s="80" customFormat="1" ht="23.25" x14ac:dyDescent="0.35">
      <c r="A39" s="3"/>
      <c r="B39" s="78" t="s">
        <v>26</v>
      </c>
      <c r="C39" s="82">
        <f>+E13</f>
        <v>225</v>
      </c>
      <c r="D39" s="82">
        <f>+F13</f>
        <v>350</v>
      </c>
      <c r="E39" s="83">
        <f>+E6/E25/E26</f>
        <v>224.26470588235296</v>
      </c>
      <c r="F39" s="83">
        <f>+E6/F25/F26</f>
        <v>348.53877856875238</v>
      </c>
      <c r="G39" s="42"/>
      <c r="H39" s="43"/>
      <c r="I39" s="43"/>
      <c r="J39" s="43"/>
      <c r="K39" s="3"/>
      <c r="L39" s="2"/>
      <c r="M39" s="2"/>
      <c r="N39" s="2"/>
      <c r="O39" s="2"/>
      <c r="P39" s="2"/>
      <c r="Q39" s="2"/>
      <c r="R39" s="2"/>
      <c r="S39" s="2"/>
    </row>
    <row r="40" spans="1:19" s="80" customFormat="1" ht="23.25" x14ac:dyDescent="0.35">
      <c r="A40" s="3"/>
      <c r="B40" s="78" t="s">
        <v>27</v>
      </c>
      <c r="C40" s="84">
        <f>+E7-(E7-C47)*C17</f>
        <v>85.21110600734302</v>
      </c>
      <c r="D40" s="84">
        <f>+E7-(E7-C47)*D17</f>
        <v>84.810879191404609</v>
      </c>
      <c r="E40" s="84">
        <f>+E7-(E7-C47)*E38</f>
        <v>85.200001586819383</v>
      </c>
      <c r="F40" s="84">
        <f>+E7-(E7-C47)*F38</f>
        <v>84.799232188626561</v>
      </c>
      <c r="G40" s="3"/>
      <c r="H40" s="85"/>
      <c r="I40" s="85"/>
      <c r="J40" s="85"/>
      <c r="K40" s="3"/>
      <c r="L40" s="2"/>
      <c r="M40" s="2"/>
      <c r="N40" s="2"/>
      <c r="O40" s="2"/>
      <c r="P40" s="2"/>
      <c r="Q40" s="2"/>
      <c r="R40" s="2"/>
      <c r="S40" s="2"/>
    </row>
    <row r="41" spans="1:19" s="80" customFormat="1" ht="23.25" x14ac:dyDescent="0.35">
      <c r="A41" s="3"/>
      <c r="B41" s="78" t="s">
        <v>28</v>
      </c>
      <c r="C41" s="84">
        <f>+(C40-32)*0.555555555555556</f>
        <v>29.561725559635036</v>
      </c>
      <c r="D41" s="84">
        <f>+(D40-32)*0.555555555555556</f>
        <v>29.33937732855814</v>
      </c>
      <c r="E41" s="84">
        <f>+(E40-32)*0.555555555555556</f>
        <v>29.555556437121904</v>
      </c>
      <c r="F41" s="84">
        <f>+(F40-32)*0.555555555555556</f>
        <v>29.332906771459225</v>
      </c>
      <c r="G41" s="3"/>
      <c r="H41" s="85"/>
      <c r="I41" s="85"/>
      <c r="J41" s="85"/>
      <c r="K41" s="3"/>
      <c r="L41" s="2"/>
      <c r="M41" s="2"/>
      <c r="N41" s="2"/>
      <c r="O41" s="2"/>
      <c r="P41" s="2"/>
      <c r="Q41" s="2"/>
      <c r="R41" s="2"/>
      <c r="S41" s="2"/>
    </row>
    <row r="42" spans="1:19" s="91" customFormat="1" ht="23.25" x14ac:dyDescent="0.35">
      <c r="A42" s="86"/>
      <c r="B42" s="87" t="s">
        <v>29</v>
      </c>
      <c r="C42" s="84">
        <f>+E7</f>
        <v>104</v>
      </c>
      <c r="D42" s="84">
        <f>+E7</f>
        <v>104</v>
      </c>
      <c r="E42" s="84">
        <f>+C42</f>
        <v>104</v>
      </c>
      <c r="F42" s="84">
        <f>+C42</f>
        <v>104</v>
      </c>
      <c r="G42" s="88"/>
      <c r="H42" s="89"/>
      <c r="I42" s="89"/>
      <c r="J42" s="89"/>
      <c r="K42" s="86"/>
      <c r="L42" s="90"/>
      <c r="M42" s="90"/>
      <c r="N42" s="90"/>
      <c r="O42" s="90"/>
      <c r="P42" s="90"/>
      <c r="Q42" s="90"/>
      <c r="R42" s="90"/>
      <c r="S42" s="90"/>
    </row>
    <row r="43" spans="1:19" s="91" customFormat="1" ht="23.25" x14ac:dyDescent="0.35">
      <c r="A43" s="86"/>
      <c r="B43" s="87" t="s">
        <v>30</v>
      </c>
      <c r="C43" s="84">
        <f>+C8</f>
        <v>30</v>
      </c>
      <c r="D43" s="84">
        <f>+C8</f>
        <v>30</v>
      </c>
      <c r="E43" s="84">
        <f>+C43</f>
        <v>30</v>
      </c>
      <c r="F43" s="84">
        <f>+C43</f>
        <v>30</v>
      </c>
      <c r="G43" s="88"/>
      <c r="H43" s="89"/>
      <c r="I43" s="89"/>
      <c r="J43" s="89"/>
      <c r="K43" s="86"/>
      <c r="L43" s="90"/>
      <c r="M43" s="90"/>
      <c r="N43" s="90"/>
      <c r="O43" s="90"/>
      <c r="P43" s="90"/>
      <c r="Q43" s="90"/>
      <c r="R43" s="90"/>
      <c r="S43" s="90"/>
    </row>
    <row r="44" spans="1:19" s="91" customFormat="1" ht="23.25" x14ac:dyDescent="0.35">
      <c r="A44" s="86"/>
      <c r="B44" s="87" t="s">
        <v>31</v>
      </c>
      <c r="C44" s="92">
        <f>+(E7-32)*5/9</f>
        <v>40</v>
      </c>
      <c r="D44" s="92">
        <f>+(E7-32)*5/9</f>
        <v>40</v>
      </c>
      <c r="E44" s="92">
        <f>+C44</f>
        <v>40</v>
      </c>
      <c r="F44" s="92">
        <f>+C44</f>
        <v>40</v>
      </c>
      <c r="G44" s="88"/>
      <c r="H44" s="89"/>
      <c r="I44" s="89"/>
      <c r="J44" s="89"/>
      <c r="K44" s="86"/>
      <c r="L44" s="90"/>
      <c r="M44" s="90"/>
      <c r="N44" s="90"/>
      <c r="O44" s="90"/>
      <c r="P44" s="90"/>
      <c r="Q44" s="90"/>
      <c r="R44" s="90"/>
      <c r="S44" s="90"/>
    </row>
    <row r="45" spans="1:19" s="91" customFormat="1" ht="23.25" x14ac:dyDescent="0.35">
      <c r="A45" s="86"/>
      <c r="B45" s="87" t="s">
        <v>32</v>
      </c>
      <c r="C45" s="92">
        <f>+C8</f>
        <v>30</v>
      </c>
      <c r="D45" s="92">
        <f>+C8</f>
        <v>30</v>
      </c>
      <c r="E45" s="92">
        <f>+C45</f>
        <v>30</v>
      </c>
      <c r="F45" s="92">
        <f>+C45</f>
        <v>30</v>
      </c>
      <c r="G45" s="88"/>
      <c r="H45" s="89"/>
      <c r="I45" s="89"/>
      <c r="J45" s="89"/>
      <c r="K45" s="86"/>
      <c r="L45" s="90"/>
      <c r="M45" s="90"/>
      <c r="N45" s="90"/>
      <c r="O45" s="90"/>
      <c r="P45" s="90"/>
      <c r="Q45" s="90"/>
      <c r="R45" s="90"/>
      <c r="S45" s="90"/>
    </row>
    <row r="46" spans="1:19" s="91" customFormat="1" ht="23.25" x14ac:dyDescent="0.35">
      <c r="A46" s="86"/>
      <c r="B46" s="87"/>
      <c r="C46" s="93"/>
      <c r="D46" s="92"/>
      <c r="E46" s="92"/>
      <c r="F46" s="92"/>
      <c r="G46" s="88"/>
      <c r="H46" s="89"/>
      <c r="I46" s="89"/>
      <c r="J46" s="89"/>
      <c r="K46" s="86"/>
      <c r="L46" s="90"/>
      <c r="M46" s="90"/>
      <c r="N46" s="90"/>
      <c r="O46" s="90"/>
      <c r="P46" s="90"/>
      <c r="Q46" s="90"/>
      <c r="R46" s="90"/>
      <c r="S46" s="90"/>
    </row>
    <row r="47" spans="1:19" s="80" customFormat="1" ht="23.25" x14ac:dyDescent="0.35">
      <c r="A47" s="3"/>
      <c r="B47" s="78" t="s">
        <v>33</v>
      </c>
      <c r="C47" s="94">
        <f>(0.616232+0.4900493*(C45)/100-0.1300531*(C45/100)^2+0.0238085*(C45/100)^3)*C42</f>
        <v>78.227223412000001</v>
      </c>
      <c r="D47" s="94">
        <f>(0.616232+0.4900493*(D45)/100-0.1300531*(D45/100)^2+0.0238085*(D45/100)^3)*D42</f>
        <v>78.227223412000001</v>
      </c>
      <c r="E47" s="94">
        <f>(0.616232+0.4900493*(E45)/100-0.1300531*(E45/100)^2+0.0238085*(E45/100)^3)*E42</f>
        <v>78.227223412000001</v>
      </c>
      <c r="F47" s="94">
        <f>(0.616232+0.4900493*(F45)/100-0.1300531*(F45/100)^2+0.0238085*(F45/100)^3)*F42</f>
        <v>78.227223412000001</v>
      </c>
      <c r="G47" s="95"/>
      <c r="H47" s="95"/>
      <c r="I47" s="95"/>
      <c r="J47" s="95"/>
      <c r="K47" s="3"/>
      <c r="L47" s="2"/>
      <c r="M47" s="2"/>
      <c r="N47" s="2"/>
      <c r="O47" s="2"/>
      <c r="P47" s="2"/>
      <c r="Q47" s="2"/>
      <c r="R47" s="2"/>
      <c r="S47" s="2"/>
    </row>
    <row r="48" spans="1:19" s="80" customFormat="1" ht="23.25" x14ac:dyDescent="0.35">
      <c r="A48" s="3"/>
      <c r="B48" s="78" t="s">
        <v>34</v>
      </c>
      <c r="C48" s="96">
        <f>+(C47-32)*0.555555555555556</f>
        <v>25.681790784444466</v>
      </c>
      <c r="D48" s="96">
        <f>+(D47-32)*0.555555555555556</f>
        <v>25.681790784444466</v>
      </c>
      <c r="E48" s="96">
        <f>+(E47-32)*0.555555555555556</f>
        <v>25.681790784444466</v>
      </c>
      <c r="F48" s="96">
        <f>+(F47-32)*0.555555555555556</f>
        <v>25.681790784444466</v>
      </c>
      <c r="G48" s="95"/>
      <c r="H48" s="95"/>
      <c r="I48" s="95"/>
      <c r="J48" s="95"/>
      <c r="K48" s="3"/>
      <c r="L48" s="2"/>
      <c r="M48" s="2"/>
      <c r="N48" s="2"/>
      <c r="O48" s="2"/>
      <c r="P48" s="2"/>
      <c r="Q48" s="2"/>
      <c r="R48" s="2"/>
      <c r="S48" s="2"/>
    </row>
    <row r="49" spans="1:19" s="80" customFormat="1" ht="23.25" x14ac:dyDescent="0.35">
      <c r="A49" s="3"/>
      <c r="B49" s="78" t="s">
        <v>35</v>
      </c>
      <c r="C49" s="97">
        <f>6.11*10^(7.5*C48/(237.7+C48))</f>
        <v>32.911679596039065</v>
      </c>
      <c r="D49" s="97">
        <f>6.11*10^(7.5*D48/(237.7+D48))</f>
        <v>32.911679596039065</v>
      </c>
      <c r="E49" s="97">
        <f>6.11*10^(7.5*E48/(237.7+E48))</f>
        <v>32.911679596039065</v>
      </c>
      <c r="F49" s="97">
        <f>6.11*10^(7.5*F48/(237.7+F48))</f>
        <v>32.911679596039065</v>
      </c>
      <c r="G49" s="95"/>
      <c r="H49" s="95"/>
      <c r="I49" s="95"/>
      <c r="J49" s="95"/>
      <c r="K49" s="3"/>
      <c r="L49" s="2"/>
      <c r="M49" s="2"/>
      <c r="N49" s="2"/>
      <c r="O49" s="2"/>
      <c r="P49" s="2"/>
      <c r="Q49" s="2"/>
      <c r="R49" s="2"/>
      <c r="S49" s="2"/>
    </row>
    <row r="50" spans="1:19" s="80" customFormat="1" ht="23.25" x14ac:dyDescent="0.35">
      <c r="A50" s="3"/>
      <c r="B50" s="78" t="s">
        <v>36</v>
      </c>
      <c r="C50" s="97">
        <f>6.11*10^(7.5*C41/(237.7+C41))</f>
        <v>41.268014556468216</v>
      </c>
      <c r="D50" s="97">
        <f>6.11*10^(7.5*D41/(237.7+D41))</f>
        <v>40.743609062532158</v>
      </c>
      <c r="E50" s="97">
        <f>6.11*10^(7.5*E41/(237.7+E41))</f>
        <v>41.253385961775201</v>
      </c>
      <c r="F50" s="97">
        <f>6.11*10^(7.5*F41/(237.7+F41))</f>
        <v>40.728435542842561</v>
      </c>
      <c r="G50" s="95"/>
      <c r="H50" s="95"/>
      <c r="I50" s="95"/>
      <c r="J50" s="95"/>
      <c r="K50" s="3"/>
      <c r="L50" s="2"/>
      <c r="M50" s="2"/>
      <c r="N50" s="2"/>
      <c r="O50" s="2"/>
      <c r="P50" s="2"/>
      <c r="Q50" s="2"/>
      <c r="R50" s="2"/>
      <c r="S50" s="2"/>
    </row>
    <row r="51" spans="1:19" s="80" customFormat="1" ht="23.25" x14ac:dyDescent="0.35">
      <c r="A51" s="3"/>
      <c r="B51" s="78" t="s">
        <v>37</v>
      </c>
      <c r="C51" s="98">
        <f>+((+C41-C48)*1.005-2500*(C49/1013))/(-(C41-C48)*4.186-2500)</f>
        <v>3.0729945655075943E-2</v>
      </c>
      <c r="D51" s="98">
        <f>+((+D41-D48)*1.005-2500*(D49/1013))/(-(D41-D48)*4.186-2500)</f>
        <v>3.0830156680325668E-2</v>
      </c>
      <c r="E51" s="98">
        <f>+((+E41-E48)*1.005-2500*(E49/1013))/(-(E41-E48)*4.186-2500)</f>
        <v>3.0732725041967852E-2</v>
      </c>
      <c r="F51" s="98">
        <f>+((+F41-F48)*1.005-2500*(F49/1013))/(-(F41-F48)*4.186-2500)</f>
        <v>3.0833074032446891E-2</v>
      </c>
      <c r="G51" s="95"/>
      <c r="H51" s="95"/>
      <c r="I51" s="95"/>
      <c r="J51" s="95"/>
      <c r="K51" s="3"/>
      <c r="L51" s="2"/>
      <c r="M51" s="2"/>
      <c r="N51" s="2"/>
      <c r="O51" s="2"/>
      <c r="P51" s="2"/>
      <c r="Q51" s="2"/>
      <c r="R51" s="2"/>
      <c r="S51" s="2"/>
    </row>
    <row r="52" spans="1:19" s="80" customFormat="1" ht="23.25" x14ac:dyDescent="0.35">
      <c r="A52" s="3"/>
      <c r="B52" s="78" t="s">
        <v>38</v>
      </c>
      <c r="C52" s="99">
        <f>+C50/1013</f>
        <v>4.0738415159396066E-2</v>
      </c>
      <c r="D52" s="99">
        <f>+D50/1013</f>
        <v>4.0220739449686238E-2</v>
      </c>
      <c r="E52" s="99">
        <f>+E50/1013</f>
        <v>4.0723974295928132E-2</v>
      </c>
      <c r="F52" s="99">
        <f>+F50/1013</f>
        <v>4.020576065433619E-2</v>
      </c>
      <c r="G52" s="95"/>
      <c r="H52" s="95"/>
      <c r="I52" s="95"/>
      <c r="J52" s="95"/>
      <c r="K52" s="3"/>
      <c r="L52" s="2"/>
      <c r="M52" s="2"/>
      <c r="N52" s="2"/>
      <c r="O52" s="2"/>
      <c r="P52" s="2"/>
      <c r="Q52" s="2"/>
      <c r="R52" s="2"/>
      <c r="S52" s="2"/>
    </row>
    <row r="53" spans="1:19" s="80" customFormat="1" ht="23.25" x14ac:dyDescent="0.35">
      <c r="A53" s="3"/>
      <c r="B53" s="78" t="s">
        <v>39</v>
      </c>
      <c r="C53" s="96">
        <f>+C51/C52*100</f>
        <v>75.432354289777209</v>
      </c>
      <c r="D53" s="96">
        <f>+D51/D52*100</f>
        <v>76.652386560153545</v>
      </c>
      <c r="E53" s="96">
        <f>+E51/E52*100</f>
        <v>75.465927806168779</v>
      </c>
      <c r="F53" s="96">
        <f>+F51/F52*100</f>
        <v>76.688199727223775</v>
      </c>
      <c r="G53" s="95"/>
      <c r="H53" s="95"/>
      <c r="I53" s="95"/>
      <c r="J53" s="95"/>
      <c r="K53" s="3"/>
      <c r="L53" s="2"/>
      <c r="M53" s="2"/>
      <c r="N53" s="2"/>
      <c r="O53" s="2"/>
      <c r="P53" s="2"/>
      <c r="Q53" s="2"/>
      <c r="R53" s="2"/>
      <c r="S53" s="2"/>
    </row>
    <row r="54" spans="1:19" s="80" customFormat="1" ht="23.25" x14ac:dyDescent="0.35">
      <c r="A54" s="3"/>
      <c r="B54" s="78" t="s">
        <v>40</v>
      </c>
      <c r="C54" s="96">
        <f>6.116441*10^(7.591386*C44/(C44+240.7263))</f>
        <v>73.820453668716624</v>
      </c>
      <c r="D54" s="96">
        <f>6.116441*10^(7.591386*D44/(D44+240.7263))</f>
        <v>73.820453668716624</v>
      </c>
      <c r="E54" s="96">
        <f>6.116441*10^(7.591386*E44/(E44+240.7263))</f>
        <v>73.820453668716624</v>
      </c>
      <c r="F54" s="96">
        <f>6.116441*10^(7.591386*F44/(F44+240.7263))</f>
        <v>73.820453668716624</v>
      </c>
      <c r="G54" s="95"/>
      <c r="H54" s="95"/>
      <c r="I54" s="95"/>
      <c r="J54" s="95"/>
      <c r="K54" s="3"/>
      <c r="L54" s="2"/>
      <c r="M54" s="2"/>
      <c r="N54" s="2"/>
      <c r="O54" s="2"/>
      <c r="P54" s="2"/>
      <c r="Q54" s="2"/>
      <c r="R54" s="2"/>
      <c r="S54" s="2"/>
    </row>
    <row r="55" spans="1:19" s="80" customFormat="1" ht="23.25" x14ac:dyDescent="0.35">
      <c r="A55" s="3"/>
      <c r="B55" s="78" t="s">
        <v>41</v>
      </c>
      <c r="C55" s="96">
        <f>6.116441*10^(7.591386*C41/(C41+240.7263))</f>
        <v>41.378789664365037</v>
      </c>
      <c r="D55" s="96">
        <f>6.116441*10^(7.591386*D41/(D41+240.7263))</f>
        <v>40.851808259775424</v>
      </c>
      <c r="E55" s="96">
        <f>6.116441*10^(7.591386*E41/(E41+240.7263))</f>
        <v>41.364088876005937</v>
      </c>
      <c r="F55" s="96">
        <f>6.116441*10^(7.591386*F41/(F41+240.7263))</f>
        <v>40.83656057796491</v>
      </c>
      <c r="G55" s="95"/>
      <c r="H55" s="95"/>
      <c r="I55" s="95"/>
      <c r="J55" s="95"/>
      <c r="K55" s="3"/>
      <c r="L55" s="2"/>
      <c r="M55" s="2"/>
      <c r="N55" s="2"/>
      <c r="O55" s="2"/>
      <c r="P55" s="2"/>
      <c r="Q55" s="2"/>
      <c r="R55" s="2"/>
      <c r="S55" s="2"/>
    </row>
    <row r="56" spans="1:19" s="80" customFormat="1" ht="23.25" x14ac:dyDescent="0.35">
      <c r="A56" s="3"/>
      <c r="B56" s="78" t="s">
        <v>42</v>
      </c>
      <c r="C56" s="96">
        <f>+C54*C45/100</f>
        <v>22.146136100614985</v>
      </c>
      <c r="D56" s="96">
        <f>+D54*D45/100</f>
        <v>22.146136100614985</v>
      </c>
      <c r="E56" s="96">
        <f>+E54*E45/100</f>
        <v>22.146136100614985</v>
      </c>
      <c r="F56" s="96">
        <f>+F54*F45/100</f>
        <v>22.146136100614985</v>
      </c>
      <c r="G56" s="95"/>
      <c r="H56" s="95"/>
      <c r="I56" s="95"/>
      <c r="J56" s="95"/>
      <c r="K56" s="3"/>
      <c r="L56" s="2"/>
      <c r="M56" s="2"/>
      <c r="N56" s="2"/>
      <c r="O56" s="2"/>
      <c r="P56" s="2"/>
      <c r="Q56" s="2"/>
      <c r="R56" s="2"/>
      <c r="S56" s="2"/>
    </row>
    <row r="57" spans="1:19" s="80" customFormat="1" ht="23.25" x14ac:dyDescent="0.35">
      <c r="A57" s="3"/>
      <c r="B57" s="78" t="s">
        <v>43</v>
      </c>
      <c r="C57" s="96">
        <f>+C55*C53/100</f>
        <v>31.212995220445549</v>
      </c>
      <c r="D57" s="96">
        <f>+D55*D53/100</f>
        <v>31.313885984095791</v>
      </c>
      <c r="E57" s="96">
        <f>+E55*E53/100</f>
        <v>31.215793448846128</v>
      </c>
      <c r="F57" s="96">
        <f>+F55*F53/100</f>
        <v>31.316823137758455</v>
      </c>
      <c r="G57" s="95"/>
      <c r="H57" s="95"/>
      <c r="I57" s="95"/>
      <c r="J57" s="95"/>
      <c r="K57" s="3"/>
      <c r="L57" s="2"/>
      <c r="M57" s="2"/>
      <c r="N57" s="2"/>
      <c r="O57" s="2"/>
      <c r="P57" s="2"/>
      <c r="Q57" s="2"/>
      <c r="R57" s="2"/>
      <c r="S57" s="2"/>
    </row>
    <row r="58" spans="1:19" s="80" customFormat="1" ht="23.25" x14ac:dyDescent="0.35">
      <c r="A58" s="3"/>
      <c r="B58" s="78" t="s">
        <v>44</v>
      </c>
      <c r="C58" s="96">
        <f>2.16679*C56/(C44+273)</f>
        <v>0.15330998799185797</v>
      </c>
      <c r="D58" s="96">
        <f>2.16679*D56/(D44+273)</f>
        <v>0.15330998799185797</v>
      </c>
      <c r="E58" s="96">
        <f>2.16679*E56/(E44+273)</f>
        <v>0.15330998799185797</v>
      </c>
      <c r="F58" s="96">
        <f>2.16679*F56/(F44+273)</f>
        <v>0.15330998799185797</v>
      </c>
      <c r="G58" s="95"/>
      <c r="H58" s="95"/>
      <c r="I58" s="95"/>
      <c r="J58" s="95"/>
      <c r="K58" s="3"/>
      <c r="L58" s="2"/>
      <c r="M58" s="2"/>
      <c r="N58" s="2"/>
      <c r="O58" s="2"/>
      <c r="P58" s="2"/>
      <c r="Q58" s="2"/>
      <c r="R58" s="2"/>
      <c r="S58" s="2"/>
    </row>
    <row r="59" spans="1:19" s="80" customFormat="1" ht="23.25" x14ac:dyDescent="0.35">
      <c r="A59" s="3"/>
      <c r="B59" s="78" t="s">
        <v>45</v>
      </c>
      <c r="C59" s="96">
        <f>2.16679*C57/(C41+273)</f>
        <v>0.2235312671773447</v>
      </c>
      <c r="D59" s="96">
        <f>2.16679*D57/(D41+273)</f>
        <v>0.22441871651321263</v>
      </c>
      <c r="E59" s="96">
        <f>2.16679*E57/(E41+273)</f>
        <v>0.22355586485843332</v>
      </c>
      <c r="F59" s="96">
        <f>2.16679*F57/(F41+273)</f>
        <v>0.22444456983294372</v>
      </c>
      <c r="G59" s="95"/>
      <c r="H59" s="95"/>
      <c r="I59" s="95"/>
      <c r="J59" s="95"/>
      <c r="K59" s="3"/>
      <c r="L59" s="2"/>
      <c r="M59" s="2"/>
      <c r="N59" s="2"/>
      <c r="O59" s="2"/>
      <c r="P59" s="2"/>
      <c r="Q59" s="2"/>
      <c r="R59" s="2"/>
      <c r="S59" s="2"/>
    </row>
    <row r="60" spans="1:19" s="80" customFormat="1" ht="23.25" x14ac:dyDescent="0.35">
      <c r="A60" s="3"/>
      <c r="B60" s="78" t="s">
        <v>46</v>
      </c>
      <c r="C60" s="98">
        <f t="shared" ref="C60:F61" si="0">+C58/454*35.3147</f>
        <v>1.1925322098978119E-2</v>
      </c>
      <c r="D60" s="98">
        <f t="shared" si="0"/>
        <v>1.1925322098978119E-2</v>
      </c>
      <c r="E60" s="98">
        <f t="shared" si="0"/>
        <v>1.1925322098978119E-2</v>
      </c>
      <c r="F60" s="98">
        <f t="shared" si="0"/>
        <v>1.1925322098978119E-2</v>
      </c>
      <c r="G60" s="95"/>
      <c r="H60" s="95"/>
      <c r="I60" s="95"/>
      <c r="J60" s="95"/>
      <c r="K60" s="3"/>
      <c r="L60" s="2"/>
      <c r="M60" s="2"/>
      <c r="N60" s="2"/>
      <c r="O60" s="2"/>
      <c r="P60" s="2"/>
      <c r="Q60" s="2"/>
      <c r="R60" s="2"/>
      <c r="S60" s="2"/>
    </row>
    <row r="61" spans="1:19" s="80" customFormat="1" ht="23.25" x14ac:dyDescent="0.35">
      <c r="A61" s="3"/>
      <c r="B61" s="78" t="s">
        <v>47</v>
      </c>
      <c r="C61" s="98">
        <f t="shared" si="0"/>
        <v>1.7387532248871754E-2</v>
      </c>
      <c r="D61" s="98">
        <f t="shared" si="0"/>
        <v>1.7456563101429848E-2</v>
      </c>
      <c r="E61" s="98">
        <f t="shared" si="0"/>
        <v>1.7389445596291006E-2</v>
      </c>
      <c r="F61" s="98">
        <f t="shared" si="0"/>
        <v>1.7458574119558277E-2</v>
      </c>
      <c r="G61" s="95"/>
      <c r="H61" s="95"/>
      <c r="I61" s="95"/>
      <c r="J61" s="95"/>
      <c r="K61" s="3"/>
      <c r="L61" s="2"/>
      <c r="M61" s="2"/>
      <c r="N61" s="2"/>
      <c r="O61" s="2"/>
      <c r="P61" s="2"/>
      <c r="Q61" s="2"/>
      <c r="R61" s="2"/>
      <c r="S61" s="2"/>
    </row>
    <row r="62" spans="1:19" s="80" customFormat="1" ht="23.25" x14ac:dyDescent="0.35">
      <c r="A62" s="3"/>
      <c r="B62" s="78" t="s">
        <v>48</v>
      </c>
      <c r="C62" s="100">
        <f>+C61-C60</f>
        <v>5.4622101498936343E-3</v>
      </c>
      <c r="D62" s="100">
        <f>+D61-D60</f>
        <v>5.531241002451729E-3</v>
      </c>
      <c r="E62" s="100">
        <f>+E61-E60</f>
        <v>5.4641234973128866E-3</v>
      </c>
      <c r="F62" s="100">
        <f>+F61-F60</f>
        <v>5.533252020580158E-3</v>
      </c>
      <c r="G62" s="95"/>
      <c r="H62" s="95"/>
      <c r="I62" s="95"/>
      <c r="J62" s="95"/>
      <c r="K62" s="3"/>
      <c r="L62" s="2"/>
      <c r="M62" s="2"/>
      <c r="N62" s="2"/>
      <c r="O62" s="2"/>
      <c r="P62" s="2"/>
      <c r="Q62" s="2"/>
      <c r="R62" s="2"/>
      <c r="S62" s="2"/>
    </row>
    <row r="63" spans="1:19" s="80" customFormat="1" ht="23.25" x14ac:dyDescent="0.35">
      <c r="A63" s="3"/>
      <c r="B63" s="78" t="s">
        <v>49</v>
      </c>
      <c r="C63" s="96">
        <f>+E6*C62/8.34/13.5</f>
        <v>8.7325501996700794</v>
      </c>
      <c r="D63" s="96">
        <f>+E6*D62/8.34/13.5</f>
        <v>8.8429112749028445</v>
      </c>
      <c r="E63" s="96">
        <f>+E6*E62/8.34/13.5</f>
        <v>8.7356091084138878</v>
      </c>
      <c r="F63" s="96">
        <f>+E6*F62/8.34/13.5</f>
        <v>8.846126331862763</v>
      </c>
      <c r="G63" s="95"/>
      <c r="H63" s="95"/>
      <c r="I63" s="95"/>
      <c r="J63" s="95"/>
      <c r="K63" s="3"/>
      <c r="L63" s="2"/>
      <c r="M63" s="2"/>
      <c r="N63" s="2"/>
      <c r="O63" s="2"/>
      <c r="P63" s="2"/>
      <c r="Q63" s="2"/>
      <c r="R63" s="2"/>
      <c r="S63" s="2"/>
    </row>
    <row r="64" spans="1:19" s="80" customFormat="1" ht="23.25" x14ac:dyDescent="0.35">
      <c r="A64" s="3"/>
      <c r="B64" s="78"/>
      <c r="C64" s="96"/>
      <c r="D64" s="96"/>
      <c r="E64" s="96"/>
      <c r="F64" s="96"/>
      <c r="G64" s="95"/>
      <c r="H64" s="95"/>
      <c r="I64" s="95"/>
      <c r="J64" s="95"/>
      <c r="K64" s="3"/>
      <c r="L64" s="2"/>
      <c r="M64" s="2"/>
      <c r="N64" s="2"/>
      <c r="O64" s="2"/>
      <c r="P64" s="2"/>
      <c r="Q64" s="2"/>
      <c r="R64" s="2"/>
      <c r="S64" s="2"/>
    </row>
    <row r="65" spans="1:43" s="80" customFormat="1" ht="23.25" x14ac:dyDescent="0.35">
      <c r="A65" s="3"/>
      <c r="B65" s="78"/>
      <c r="C65" s="96"/>
      <c r="D65" s="96"/>
      <c r="E65" s="96"/>
      <c r="F65" s="96"/>
      <c r="G65" s="95"/>
      <c r="H65" s="95"/>
      <c r="I65" s="95"/>
      <c r="J65" s="95"/>
      <c r="K65" s="3"/>
      <c r="L65" s="2"/>
      <c r="M65" s="2"/>
      <c r="N65" s="2"/>
      <c r="O65" s="2"/>
      <c r="P65" s="2"/>
      <c r="Q65" s="2"/>
      <c r="R65" s="2"/>
      <c r="S65" s="2"/>
    </row>
    <row r="66" spans="1:43" s="80" customFormat="1" ht="23.25" x14ac:dyDescent="0.35">
      <c r="A66" s="3"/>
      <c r="B66" s="78"/>
      <c r="C66" s="96"/>
      <c r="D66" s="96"/>
      <c r="E66" s="96"/>
      <c r="F66" s="96"/>
      <c r="G66" s="95"/>
      <c r="H66" s="95"/>
      <c r="I66" s="95"/>
      <c r="J66" s="95"/>
      <c r="K66" s="3"/>
      <c r="L66" s="2"/>
      <c r="M66" s="2"/>
      <c r="N66" s="2"/>
      <c r="O66" s="2"/>
      <c r="P66" s="2"/>
      <c r="Q66" s="2"/>
      <c r="R66" s="2"/>
      <c r="S66" s="2"/>
    </row>
    <row r="67" spans="1:43" s="80" customFormat="1" ht="23.25" x14ac:dyDescent="0.35">
      <c r="A67" s="3"/>
      <c r="B67" s="78"/>
      <c r="C67" s="96"/>
      <c r="D67" s="96"/>
      <c r="E67" s="96"/>
      <c r="F67" s="96"/>
      <c r="G67" s="95"/>
      <c r="H67" s="95"/>
      <c r="I67" s="95"/>
      <c r="J67" s="95"/>
      <c r="K67" s="3"/>
      <c r="L67" s="2"/>
      <c r="M67" s="2"/>
      <c r="N67" s="2"/>
      <c r="O67" s="2"/>
      <c r="P67" s="2"/>
      <c r="Q67" s="2"/>
      <c r="R67" s="2"/>
      <c r="S67" s="2"/>
    </row>
    <row r="68" spans="1:43" s="80" customFormat="1" ht="23.25" x14ac:dyDescent="0.35">
      <c r="A68" s="3"/>
      <c r="B68" s="78"/>
      <c r="C68" s="96"/>
      <c r="D68" s="96"/>
      <c r="E68" s="96"/>
      <c r="F68" s="96"/>
      <c r="G68" s="95"/>
      <c r="H68" s="95"/>
      <c r="I68" s="95"/>
      <c r="J68" s="95"/>
      <c r="K68" s="3"/>
      <c r="L68" s="2"/>
      <c r="M68" s="2"/>
      <c r="N68" s="2"/>
      <c r="O68" s="2"/>
      <c r="P68" s="2"/>
      <c r="Q68" s="2"/>
      <c r="R68" s="2"/>
      <c r="S68" s="2"/>
    </row>
    <row r="69" spans="1:43" s="80" customFormat="1" ht="23.25" x14ac:dyDescent="0.35">
      <c r="A69" s="3"/>
      <c r="B69" s="78"/>
      <c r="C69" s="96"/>
      <c r="D69" s="96"/>
      <c r="E69" s="96"/>
      <c r="F69" s="96"/>
      <c r="G69" s="95"/>
      <c r="H69" s="95"/>
      <c r="I69" s="95"/>
      <c r="J69" s="95"/>
      <c r="K69" s="3"/>
      <c r="L69" s="2"/>
      <c r="M69" s="2"/>
      <c r="N69" s="2"/>
      <c r="O69" s="2"/>
      <c r="P69" s="2"/>
      <c r="Q69" s="2"/>
      <c r="R69" s="2"/>
      <c r="S69" s="2"/>
    </row>
    <row r="70" spans="1:43" s="80" customFormat="1" ht="23.25" x14ac:dyDescent="0.35">
      <c r="A70" s="3"/>
      <c r="B70" s="78"/>
      <c r="C70" s="96"/>
      <c r="D70" s="96"/>
      <c r="E70" s="96"/>
      <c r="F70" s="96"/>
      <c r="G70" s="95"/>
      <c r="H70" s="95"/>
      <c r="I70" s="95"/>
      <c r="J70" s="95"/>
      <c r="K70" s="3"/>
      <c r="L70" s="2"/>
      <c r="M70" s="2"/>
      <c r="N70" s="2"/>
      <c r="O70" s="2"/>
      <c r="P70" s="2"/>
      <c r="Q70" s="2"/>
      <c r="R70" s="2"/>
      <c r="S70" s="2"/>
    </row>
    <row r="71" spans="1:43" s="80" customFormat="1" ht="23.25" x14ac:dyDescent="0.35">
      <c r="A71" s="3"/>
      <c r="B71" s="78"/>
      <c r="C71" s="96"/>
      <c r="D71" s="96"/>
      <c r="E71" s="96"/>
      <c r="F71" s="96"/>
      <c r="G71" s="95"/>
      <c r="H71" s="95"/>
      <c r="I71" s="95"/>
      <c r="J71" s="95"/>
      <c r="K71" s="3"/>
      <c r="L71" s="2"/>
      <c r="M71" s="2"/>
      <c r="N71" s="2"/>
      <c r="O71" s="2"/>
      <c r="P71" s="2"/>
      <c r="Q71" s="2"/>
      <c r="R71" s="2"/>
      <c r="S71" s="2"/>
    </row>
    <row r="72" spans="1:43" s="80" customFormat="1" ht="23.25" x14ac:dyDescent="0.35">
      <c r="A72" s="3"/>
      <c r="B72" s="78"/>
      <c r="C72" s="97"/>
      <c r="D72" s="97"/>
      <c r="E72" s="97"/>
      <c r="F72" s="97"/>
      <c r="G72" s="95"/>
      <c r="H72" s="95"/>
      <c r="I72" s="95"/>
      <c r="J72" s="95"/>
      <c r="K72" s="3"/>
      <c r="L72" s="2"/>
      <c r="M72" s="2"/>
      <c r="N72" s="2"/>
      <c r="O72" s="2"/>
      <c r="P72" s="2"/>
      <c r="Q72" s="2"/>
      <c r="R72" s="2"/>
      <c r="S72" s="2"/>
    </row>
    <row r="73" spans="1:43" s="80" customFormat="1" ht="23.25" x14ac:dyDescent="0.35">
      <c r="A73" s="3"/>
      <c r="B73" s="78"/>
      <c r="C73" s="97"/>
      <c r="D73" s="97"/>
      <c r="E73" s="97"/>
      <c r="F73" s="97"/>
      <c r="G73" s="95"/>
      <c r="H73" s="95"/>
      <c r="I73" s="95"/>
      <c r="J73" s="95"/>
      <c r="K73" s="3"/>
      <c r="L73" s="2"/>
      <c r="M73" s="2"/>
      <c r="N73" s="2"/>
      <c r="O73" s="2"/>
      <c r="P73" s="2"/>
      <c r="Q73" s="2"/>
      <c r="R73" s="2"/>
      <c r="S73" s="2"/>
    </row>
    <row r="74" spans="1:43" s="80" customFormat="1" ht="23.25" x14ac:dyDescent="0.35">
      <c r="A74" s="3"/>
      <c r="B74" s="78"/>
      <c r="C74" s="97"/>
      <c r="D74" s="97"/>
      <c r="E74" s="97"/>
      <c r="F74" s="97"/>
      <c r="G74" s="95"/>
      <c r="H74" s="95"/>
      <c r="I74" s="95"/>
      <c r="J74" s="95"/>
      <c r="K74" s="3"/>
      <c r="L74" s="2"/>
      <c r="M74" s="2"/>
      <c r="N74" s="2"/>
      <c r="O74" s="2"/>
      <c r="P74" s="2"/>
      <c r="Q74" s="2"/>
      <c r="R74" s="2"/>
      <c r="S74" s="2"/>
    </row>
    <row r="75" spans="1:43" s="80" customFormat="1" ht="23.25" x14ac:dyDescent="0.35">
      <c r="A75" s="3"/>
      <c r="B75" s="78"/>
      <c r="C75" s="97"/>
      <c r="D75" s="97"/>
      <c r="E75" s="97"/>
      <c r="F75" s="97"/>
      <c r="G75" s="95"/>
      <c r="H75" s="95"/>
      <c r="I75" s="95"/>
      <c r="J75" s="95"/>
      <c r="K75" s="3"/>
      <c r="L75" s="2"/>
      <c r="M75" s="2"/>
      <c r="N75" s="2"/>
      <c r="O75" s="2"/>
      <c r="P75" s="2"/>
      <c r="Q75" s="2"/>
      <c r="R75" s="2"/>
      <c r="S75" s="2"/>
    </row>
    <row r="76" spans="1:43" s="80" customFormat="1" ht="23.25" x14ac:dyDescent="0.35">
      <c r="A76" s="3"/>
      <c r="B76" s="72"/>
      <c r="C76" s="101"/>
      <c r="D76" s="102"/>
      <c r="E76" s="102"/>
      <c r="F76" s="102"/>
      <c r="G76" s="103"/>
      <c r="H76" s="103"/>
      <c r="I76" s="103"/>
      <c r="J76" s="103"/>
      <c r="K76" s="3"/>
      <c r="L76" s="2"/>
      <c r="M76" s="2"/>
      <c r="N76" s="2"/>
      <c r="O76" s="2"/>
      <c r="P76" s="2"/>
      <c r="Q76" s="4"/>
      <c r="R76" s="4"/>
      <c r="S76" s="4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1:43" s="80" customFormat="1" ht="23.25" x14ac:dyDescent="0.35">
      <c r="A77" s="3"/>
      <c r="E77" s="102"/>
      <c r="F77" s="102"/>
      <c r="G77" s="103"/>
      <c r="H77" s="103"/>
      <c r="I77" s="103"/>
      <c r="J77" s="103"/>
      <c r="K77" s="3"/>
      <c r="L77" s="2"/>
      <c r="M77" s="2"/>
      <c r="N77" s="2"/>
      <c r="O77" s="2"/>
      <c r="P77" s="2"/>
      <c r="Q77" s="4"/>
      <c r="R77" s="4"/>
      <c r="S77" s="4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1:43" s="80" customFormat="1" ht="23.25" x14ac:dyDescent="0.35">
      <c r="A78" s="3"/>
      <c r="E78" s="102"/>
      <c r="F78" s="102"/>
      <c r="G78" s="103"/>
      <c r="H78" s="103"/>
      <c r="I78" s="103"/>
      <c r="J78" s="103"/>
      <c r="K78" s="3"/>
      <c r="L78" s="2"/>
      <c r="M78" s="2"/>
      <c r="N78" s="2"/>
      <c r="O78" s="2"/>
      <c r="P78" s="2"/>
      <c r="Q78" s="4"/>
      <c r="R78" s="4"/>
      <c r="S78" s="4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1:43" s="80" customFormat="1" ht="23.25" x14ac:dyDescent="0.35">
      <c r="A79" s="3"/>
      <c r="B79" s="72"/>
      <c r="C79" s="102"/>
      <c r="D79" s="102"/>
      <c r="E79" s="102"/>
      <c r="F79" s="102"/>
      <c r="G79" s="103"/>
      <c r="H79" s="103"/>
      <c r="I79" s="103"/>
      <c r="J79" s="103"/>
      <c r="K79" s="3"/>
      <c r="L79" s="2"/>
      <c r="M79" s="2"/>
      <c r="N79" s="2"/>
      <c r="O79" s="2"/>
      <c r="P79" s="2"/>
      <c r="Q79" s="4"/>
      <c r="R79" s="4"/>
      <c r="S79" s="4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1:43" s="80" customFormat="1" ht="23.25" x14ac:dyDescent="0.35">
      <c r="A80" s="3"/>
      <c r="B80" s="72"/>
      <c r="C80" s="102"/>
      <c r="D80" s="102"/>
      <c r="E80" s="102"/>
      <c r="F80" s="102"/>
      <c r="G80" s="103"/>
      <c r="H80" s="103"/>
      <c r="I80" s="103"/>
      <c r="J80" s="103"/>
      <c r="K80" s="3"/>
      <c r="L80" s="2"/>
      <c r="M80" s="2"/>
      <c r="N80" s="2"/>
      <c r="O80" s="2"/>
      <c r="P80" s="2"/>
      <c r="Q80" s="4"/>
      <c r="R80" s="4"/>
      <c r="S80" s="4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1:43" s="80" customFormat="1" ht="23.25" x14ac:dyDescent="0.35">
      <c r="A81" s="3"/>
      <c r="B81" s="72"/>
      <c r="C81" s="104"/>
      <c r="D81" s="104"/>
      <c r="E81" s="104"/>
      <c r="F81" s="104"/>
      <c r="G81" s="105"/>
      <c r="H81" s="105"/>
      <c r="I81" s="105"/>
      <c r="J81" s="105"/>
      <c r="K81" s="3"/>
      <c r="L81" s="2"/>
      <c r="M81" s="2"/>
      <c r="N81" s="2"/>
      <c r="O81" s="2"/>
      <c r="P81" s="2"/>
      <c r="Q81" s="4"/>
      <c r="R81" s="4"/>
      <c r="S81" s="4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1:43" s="80" customFormat="1" ht="23.25" x14ac:dyDescent="0.35">
      <c r="A82" s="3"/>
      <c r="B82" s="72"/>
      <c r="C82" s="104"/>
      <c r="D82" s="104"/>
      <c r="E82" s="104"/>
      <c r="F82" s="104"/>
      <c r="G82" s="105"/>
      <c r="H82" s="105"/>
      <c r="I82" s="105"/>
      <c r="J82" s="105"/>
      <c r="K82" s="3"/>
      <c r="L82" s="2"/>
      <c r="M82" s="2"/>
      <c r="N82" s="2"/>
      <c r="O82" s="2"/>
      <c r="P82" s="2"/>
      <c r="Q82" s="4"/>
      <c r="R82" s="4"/>
      <c r="S82" s="4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1:43" s="80" customFormat="1" ht="23.25" x14ac:dyDescent="0.35">
      <c r="A83" s="3"/>
      <c r="B83" s="72"/>
      <c r="C83" s="104"/>
      <c r="D83" s="104"/>
      <c r="E83" s="104"/>
      <c r="F83" s="104"/>
      <c r="G83" s="105"/>
      <c r="H83" s="105"/>
      <c r="I83" s="105"/>
      <c r="J83" s="105"/>
      <c r="K83" s="3"/>
      <c r="L83" s="2"/>
      <c r="M83" s="2"/>
      <c r="N83" s="2"/>
      <c r="O83" s="2"/>
      <c r="P83" s="2"/>
      <c r="Q83" s="4"/>
      <c r="R83" s="4"/>
      <c r="S83" s="4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1:43" s="80" customFormat="1" ht="23.25" x14ac:dyDescent="0.35">
      <c r="A84" s="3"/>
      <c r="B84" s="72"/>
      <c r="C84" s="106"/>
      <c r="D84" s="106"/>
      <c r="E84" s="106"/>
      <c r="F84" s="106"/>
      <c r="G84" s="105"/>
      <c r="H84" s="105"/>
      <c r="I84" s="105"/>
      <c r="J84" s="105"/>
      <c r="K84" s="3"/>
      <c r="L84" s="2"/>
      <c r="M84" s="2"/>
      <c r="N84" s="2"/>
      <c r="O84" s="2"/>
      <c r="P84" s="2"/>
      <c r="Q84" s="4"/>
      <c r="R84" s="4"/>
      <c r="S84" s="4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1:43" s="80" customFormat="1" ht="23.25" x14ac:dyDescent="0.35">
      <c r="A85" s="3"/>
      <c r="B85" s="72"/>
      <c r="C85" s="104"/>
      <c r="D85" s="104"/>
      <c r="E85" s="104"/>
      <c r="F85" s="104"/>
      <c r="G85" s="105"/>
      <c r="H85" s="105"/>
      <c r="I85" s="105"/>
      <c r="J85" s="105"/>
      <c r="K85" s="3"/>
      <c r="L85" s="2"/>
      <c r="M85" s="2"/>
      <c r="N85" s="2"/>
      <c r="O85" s="2"/>
      <c r="P85" s="2"/>
      <c r="Q85" s="4"/>
      <c r="R85" s="4"/>
      <c r="S85" s="4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1:43" s="80" customFormat="1" ht="23.25" x14ac:dyDescent="0.35">
      <c r="A86" s="3"/>
      <c r="B86" s="72"/>
      <c r="C86" s="104"/>
      <c r="D86" s="104"/>
      <c r="E86" s="104"/>
      <c r="F86" s="104"/>
      <c r="G86" s="105"/>
      <c r="H86" s="105"/>
      <c r="I86" s="105"/>
      <c r="J86" s="105"/>
      <c r="K86" s="3"/>
      <c r="L86" s="2"/>
      <c r="M86" s="2"/>
      <c r="N86" s="2"/>
      <c r="O86" s="2"/>
      <c r="P86" s="2"/>
      <c r="Q86" s="4"/>
      <c r="R86" s="4"/>
      <c r="S86" s="4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1:43" s="2" customFormat="1" ht="23.25" x14ac:dyDescent="0.35">
      <c r="A87" s="3"/>
      <c r="B87" s="72"/>
      <c r="C87" s="104"/>
      <c r="D87" s="105"/>
      <c r="E87" s="105"/>
      <c r="F87" s="105"/>
      <c r="G87" s="105"/>
      <c r="H87" s="105"/>
      <c r="I87" s="105"/>
      <c r="J87" s="105"/>
      <c r="K87" s="3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2" customFormat="1" x14ac:dyDescent="0.3">
      <c r="A88" s="3"/>
      <c r="B88" s="72"/>
      <c r="C88" s="107"/>
      <c r="D88" s="107"/>
      <c r="E88" s="107"/>
      <c r="F88" s="107"/>
      <c r="G88" s="107"/>
      <c r="H88" s="107"/>
      <c r="I88" s="107"/>
      <c r="J88" s="107"/>
      <c r="K88" s="3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09" customFormat="1" x14ac:dyDescent="0.3">
      <c r="A89" s="16"/>
      <c r="B89" s="72"/>
      <c r="C89" s="108"/>
      <c r="D89" s="108"/>
      <c r="E89" s="108"/>
      <c r="F89" s="108"/>
      <c r="G89" s="108"/>
      <c r="H89" s="108"/>
      <c r="I89" s="108"/>
      <c r="J89" s="108"/>
      <c r="K89" s="3"/>
      <c r="L89" s="2"/>
      <c r="M89" s="2"/>
      <c r="N89" s="2"/>
      <c r="O89" s="2"/>
      <c r="P89" s="2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09" customFormat="1" x14ac:dyDescent="0.3">
      <c r="A90" s="16"/>
      <c r="B90" s="72"/>
      <c r="C90" s="108"/>
      <c r="D90" s="108"/>
      <c r="E90" s="108"/>
      <c r="F90" s="108"/>
      <c r="G90" s="108"/>
      <c r="H90" s="108"/>
      <c r="I90" s="108"/>
      <c r="J90" s="108"/>
      <c r="K90" s="3"/>
      <c r="L90" s="2"/>
      <c r="M90" s="2"/>
      <c r="N90" s="2"/>
      <c r="O90" s="2"/>
      <c r="P90" s="2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09" customFormat="1" x14ac:dyDescent="0.3">
      <c r="A91" s="16"/>
      <c r="B91" s="72"/>
      <c r="C91" s="107"/>
      <c r="D91" s="107"/>
      <c r="E91" s="107"/>
      <c r="F91" s="107"/>
      <c r="G91" s="107"/>
      <c r="H91" s="107"/>
      <c r="I91" s="107"/>
      <c r="J91" s="107"/>
      <c r="K91" s="3"/>
      <c r="L91" s="2"/>
      <c r="M91" s="2"/>
      <c r="N91" s="2"/>
      <c r="O91" s="2"/>
      <c r="P91" s="2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09" customFormat="1" x14ac:dyDescent="0.3">
      <c r="A92" s="16"/>
      <c r="B92" s="72"/>
      <c r="C92" s="110"/>
      <c r="D92" s="110"/>
      <c r="E92" s="110"/>
      <c r="F92" s="110"/>
      <c r="G92" s="110"/>
      <c r="H92" s="110"/>
      <c r="I92" s="110"/>
      <c r="J92" s="110"/>
      <c r="K92" s="3"/>
      <c r="L92" s="2"/>
      <c r="M92" s="2"/>
      <c r="N92" s="2"/>
      <c r="O92" s="2"/>
      <c r="P92" s="2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09" customFormat="1" x14ac:dyDescent="0.3">
      <c r="A93" s="16"/>
      <c r="B93" s="75"/>
      <c r="C93" s="75"/>
      <c r="D93" s="75"/>
      <c r="E93" s="75"/>
      <c r="F93" s="75"/>
      <c r="G93" s="75"/>
      <c r="H93" s="75"/>
      <c r="I93" s="75"/>
      <c r="J93" s="75"/>
      <c r="K93" s="3"/>
      <c r="L93" s="2"/>
      <c r="M93" s="2"/>
      <c r="N93" s="2"/>
      <c r="O93" s="2"/>
      <c r="P93" s="2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x14ac:dyDescent="0.3">
      <c r="A94" s="11"/>
      <c r="B94" s="11"/>
      <c r="C94" s="11"/>
      <c r="D94" s="11"/>
      <c r="E94" s="3"/>
      <c r="G94" s="3"/>
      <c r="H94" s="3"/>
      <c r="I94" s="3"/>
      <c r="K94" s="3"/>
    </row>
  </sheetData>
  <sheetProtection password="E972" sheet="1" objects="1" scenarios="1"/>
  <pageMargins left="0.75" right="0.75" top="1" bottom="1" header="0.5" footer="0.5"/>
  <pageSetup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Evap cooling system design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2014-05-27T20:50:12Z</dcterms:created>
  <dcterms:modified xsi:type="dcterms:W3CDTF">2014-05-27T20:58:24Z</dcterms:modified>
</cp:coreProperties>
</file>