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unnel fan comparison" sheetId="1" r:id="rId1"/>
  </sheets>
  <externalReferences>
    <externalReference r:id="rId2"/>
  </externalReferences>
  <definedNames>
    <definedName name="_Tdb1">#REF!</definedName>
    <definedName name="_Tdb2">#REF!</definedName>
    <definedName name="_Tdb3">[1]Mixing!$D$15</definedName>
    <definedName name="_Twb1">#REF!</definedName>
    <definedName name="_Twb2">#REF!</definedName>
    <definedName name="_Twb3">[1]Mixing!$D$18</definedName>
    <definedName name="APHg">'[1]Htg Coil'!$B$12</definedName>
    <definedName name="APinHg">#REF!</definedName>
    <definedName name="APinHgIn">'[1]Clg-Coil'!$B$12</definedName>
    <definedName name="APpsia">'[1]Htg Coil'!$B$11</definedName>
    <definedName name="AtmPress">#REF!</definedName>
    <definedName name="AtmPressIn">'[1]Clg-Coil'!$B$11</definedName>
    <definedName name="BHP">'[1]Clg-Coil'!$I$6</definedName>
    <definedName name="BPFactor">'[1]Clg Coil-BP'!$B$6</definedName>
    <definedName name="cp">#REF!</definedName>
    <definedName name="DewPt1">#REF!</definedName>
    <definedName name="DewPt2">#REF!</definedName>
    <definedName name="Elev">'[1]Clg Coil-BP'!$B$11</definedName>
    <definedName name="Elevation">#REF!</definedName>
    <definedName name="ElevH">'[1]Htg Coil'!$B$10</definedName>
    <definedName name="ElevIn">'[1]Clg-Coil'!$B$10</definedName>
    <definedName name="Enal1">#REF!</definedName>
    <definedName name="Enal2">#REF!</definedName>
    <definedName name="EnalFluid">'[1]Htg Coil'!$J$16</definedName>
    <definedName name="EnalHru">'[1]Heat Rec''ry'!$H$22</definedName>
    <definedName name="EnalOut">'[1]Heat Rec''ry'!$E$22</definedName>
    <definedName name="EnalRet">'[1]Clg Coil-BP'!$B$20</definedName>
    <definedName name="EnalRm">'[1]Heat Rec''ry'!$B$22</definedName>
    <definedName name="EnalSup">'[1]Clg Coil-BP'!$F$20</definedName>
    <definedName name="FanEff">'[1]Clg-Coil'!$I$4</definedName>
    <definedName name="FluidTemp">'[1]Htg Coil'!$J$15</definedName>
    <definedName name="FluidType">'[1]Htg Coil'!$J$14</definedName>
    <definedName name="h">#REF!</definedName>
    <definedName name="HRatio1">#REF!</definedName>
    <definedName name="HRatio2">#REF!</definedName>
    <definedName name="HRatio3">[1]Mixing!$D$16</definedName>
    <definedName name="HRatioadp">'[1]Clg Coil-BP'!$F$10</definedName>
    <definedName name="HRatioHin">'[1]Htg Coil'!$B$15</definedName>
    <definedName name="HRatioHout">'[1]Htg Coil'!$F$10</definedName>
    <definedName name="HRatioHru">'[1]Heat Rec''ry'!$H$18</definedName>
    <definedName name="HRatioIn">'[1]Clg-Coil'!$B$15</definedName>
    <definedName name="HRatioNet">'[1]Clg-Coil'!$I$15</definedName>
    <definedName name="HRatioOA">'[1]Htg Coil'!$J$6</definedName>
    <definedName name="HRatioOut">'[1]Heat Rec''ry'!$E$18</definedName>
    <definedName name="HRatioRet">'[1]Clg Coil-BP'!$B$16</definedName>
    <definedName name="HRatioRm">'[1]Heat Rec''ry'!$B$18</definedName>
    <definedName name="HRatioSup">'[1]Clg Coil-BP'!$F$16</definedName>
    <definedName name="LatEff">'[1]Heat Rec''ry'!$B$7</definedName>
    <definedName name="mflow1">[1]Mixing!$B$10</definedName>
    <definedName name="mflow2">[1]Mixing!$F$10</definedName>
    <definedName name="mflow3">[1]Mixing!$D$13</definedName>
    <definedName name="mflowHin">'[1]Htg Coil'!$B$6</definedName>
    <definedName name="mflowIn">'[1]Clg-Coil'!$F$8</definedName>
    <definedName name="mflowOut">'[1]Heat Rec''ry'!$B$11</definedName>
    <definedName name="mflowRet">'[1]Clg Coil-BP'!$F$4</definedName>
    <definedName name="mfluid">'[1]Htg Coil'!$J$17</definedName>
    <definedName name="MotorEff">'[1]Clg-Coil'!$I$5</definedName>
    <definedName name="OAVentInfil">'[1]Htg Coil'!$J$5</definedName>
    <definedName name="Qair1">[1]Mixing!$B$6</definedName>
    <definedName name="Qair2">[1]Mixing!$F$6</definedName>
    <definedName name="QairEx">'[1]Heat Rec''ry'!$B$15</definedName>
    <definedName name="QairHin">'[1]Htg Coil'!$B$3</definedName>
    <definedName name="QairIn">'[1]Clg-Coil'!$B$3</definedName>
    <definedName name="QairOut">'[1]Heat Rec''ry'!$B$9</definedName>
    <definedName name="QairRet">'[1]Clg Coil-BP'!$B$4</definedName>
    <definedName name="qFan">'[1]Clg-Coil'!$I$7</definedName>
    <definedName name="qFurn">'[1]Htg Coil'!$B$4</definedName>
    <definedName name="qHumid">'[1]Htg Coil'!$J$18</definedName>
    <definedName name="QSairIn">'[1]Clg-Coil'!$B$6</definedName>
    <definedName name="qSenHru">'[1]Heat Rec''ry'!$E$15</definedName>
    <definedName name="qSenNet">'[1]Clg-Coil'!$I$9</definedName>
    <definedName name="qSensible">'[1]Clg Coil-BP'!$F$13</definedName>
    <definedName name="qTotal">'[1]Clg Coil-BP'!$F$12</definedName>
    <definedName name="qTotalHru">'[1]Heat Rec''ry'!$E$14</definedName>
    <definedName name="qTotNet">'[1]Clg-Coil'!$I$8</definedName>
    <definedName name="RelHum1">#REF!</definedName>
    <definedName name="RelHum2">#REF!</definedName>
    <definedName name="RH">#REF!</definedName>
    <definedName name="SC">'[1]Clg-Coil'!$B$5</definedName>
    <definedName name="SenEff">'[1]Heat Rec''ry'!$B$6</definedName>
    <definedName name="SpHt1">#REF!</definedName>
    <definedName name="SpHt2">#REF!</definedName>
    <definedName name="SpHtHin">'[1]Htg Coil'!$B$18</definedName>
    <definedName name="SpHtIn">'[1]Clg-Coil'!$B$18</definedName>
    <definedName name="SpHtOut">'[1]Heat Rec''ry'!$E$21</definedName>
    <definedName name="SpHtRet">'[1]Clg Coil-BP'!$B$19</definedName>
    <definedName name="SpVol1">#REF!</definedName>
    <definedName name="SpVol2">#REF!</definedName>
    <definedName name="SpVol3">[1]Mixing!$D$22</definedName>
    <definedName name="SpVolHin">'[1]Htg Coil'!$B$20</definedName>
    <definedName name="SpVolIn">'[1]Clg-Coil'!$B$20</definedName>
    <definedName name="SpVolOut">'[1]Heat Rec''ry'!$E$23</definedName>
    <definedName name="SpVolRet">'[1]Clg Coil-BP'!$B$21</definedName>
    <definedName name="SpVolSup">'[1]Clg Coil-BP'!$F$21</definedName>
    <definedName name="SupFankW">'[1]Heat Rec''ry'!$B$12</definedName>
    <definedName name="Tadp">'[1]Clg Coil-BP'!$B$5</definedName>
    <definedName name="TC">'[1]Clg-Coil'!$B$4</definedName>
    <definedName name="TdbHin">'[1]Htg Coil'!$B$8</definedName>
    <definedName name="TdbHout">'[1]Htg Coil'!$F$6</definedName>
    <definedName name="TdbHru">'[1]Heat Rec''ry'!$H$14</definedName>
    <definedName name="TdbIn">'[1]Clg-Coil'!$B$8</definedName>
    <definedName name="TdbNet">'[1]Clg-Coil'!$I$12</definedName>
    <definedName name="TdbOut">'[1]Heat Rec''ry'!$F$9</definedName>
    <definedName name="TdbOutAir">'[1]Htg Coil'!$J$3</definedName>
    <definedName name="TdbRet">'[1]Clg Coil-BP'!$B$9</definedName>
    <definedName name="TdbRm">'[1]Heat Rec''ry'!$F$6</definedName>
    <definedName name="TdbSup">'[1]Clg Coil-BP'!$F$8</definedName>
    <definedName name="Tdrybulb">#REF!</definedName>
    <definedName name="Tdwb1">#REF!</definedName>
    <definedName name="TotalPress">'[1]Clg-Coil'!$I$3</definedName>
    <definedName name="TwbHin">'[1]Htg Coil'!$B$9</definedName>
    <definedName name="TwbHout">'[1]Htg Coil'!$F$7</definedName>
    <definedName name="TwbHru">'[1]Heat Rec''ry'!$H$15</definedName>
    <definedName name="TwbIn">'[1]Clg-Coil'!$B$9</definedName>
    <definedName name="TwbNet">'[1]Clg-Coil'!$I$13</definedName>
    <definedName name="TwbOut">'[1]Heat Rec''ry'!$F$10</definedName>
    <definedName name="TwbOutAir">'[1]Htg Coil'!$J$4</definedName>
    <definedName name="TwbRet">'[1]Clg Coil-BP'!$B$10</definedName>
    <definedName name="TwbRm">'[1]Heat Rec''ry'!$F$7</definedName>
    <definedName name="TwbSup">'[1]Clg Coil-BP'!$F$9</definedName>
    <definedName name="Twetbulb">#REF!</definedName>
    <definedName name="v">#REF!</definedName>
    <definedName name="W">#REF!</definedName>
    <definedName name="W1_">#REF!</definedName>
  </definedNames>
  <calcPr calcId="145621"/>
</workbook>
</file>

<file path=xl/calcChain.xml><?xml version="1.0" encoding="utf-8"?>
<calcChain xmlns="http://schemas.openxmlformats.org/spreadsheetml/2006/main">
  <c r="B40" i="1" l="1"/>
  <c r="G37" i="1"/>
  <c r="F37" i="1"/>
  <c r="E32" i="1"/>
  <c r="C32" i="1"/>
  <c r="D32" i="1" s="1"/>
  <c r="B32" i="1"/>
  <c r="B41" i="1" s="1"/>
  <c r="E31" i="1"/>
  <c r="D31" i="1"/>
  <c r="C31" i="1"/>
  <c r="B31" i="1"/>
  <c r="E30" i="1"/>
  <c r="F30" i="1" s="1"/>
  <c r="C30" i="1"/>
  <c r="D30" i="1" s="1"/>
  <c r="B30" i="1"/>
  <c r="B39" i="1" s="1"/>
  <c r="E29" i="1"/>
  <c r="C29" i="1"/>
  <c r="D29" i="1" s="1"/>
  <c r="B29" i="1"/>
  <c r="B38" i="1" s="1"/>
  <c r="H22" i="1"/>
  <c r="H21" i="1"/>
  <c r="H20" i="1"/>
  <c r="H19" i="1"/>
  <c r="T9" i="1"/>
  <c r="S9" i="1"/>
  <c r="R9" i="1"/>
  <c r="L9" i="1"/>
  <c r="R19" i="1" s="1"/>
  <c r="L8" i="1"/>
  <c r="R17" i="1" s="1"/>
  <c r="H8" i="1"/>
  <c r="T7" i="1"/>
  <c r="S7" i="1"/>
  <c r="R7" i="1"/>
  <c r="L7" i="1"/>
  <c r="H7" i="1"/>
  <c r="T6" i="1"/>
  <c r="S6" i="1"/>
  <c r="R6" i="1"/>
  <c r="L6" i="1"/>
  <c r="G9" i="1" s="1"/>
  <c r="H9" i="1" l="1"/>
  <c r="S1" i="1"/>
  <c r="S19" i="1" s="1"/>
  <c r="G32" i="1" s="1"/>
  <c r="S17" i="1"/>
  <c r="G30" i="1" s="1"/>
  <c r="F31" i="1"/>
  <c r="R18" i="1"/>
  <c r="R16" i="1"/>
  <c r="F29" i="1"/>
  <c r="F32" i="1"/>
  <c r="C41" i="1" l="1"/>
  <c r="J32" i="1"/>
  <c r="D41" i="1" s="1"/>
  <c r="F41" i="1" s="1"/>
  <c r="G41" i="1" s="1"/>
  <c r="H32" i="1"/>
  <c r="C39" i="1"/>
  <c r="H30" i="1"/>
  <c r="J30" i="1"/>
  <c r="D39" i="1" s="1"/>
  <c r="F39" i="1" s="1"/>
  <c r="G39" i="1" s="1"/>
  <c r="S16" i="1"/>
  <c r="G29" i="1" s="1"/>
  <c r="S18" i="1"/>
  <c r="G31" i="1" s="1"/>
  <c r="C38" i="1" l="1"/>
  <c r="J29" i="1"/>
  <c r="D38" i="1" s="1"/>
  <c r="F38" i="1" s="1"/>
  <c r="G38" i="1" s="1"/>
  <c r="H29" i="1"/>
  <c r="C40" i="1"/>
  <c r="J31" i="1"/>
  <c r="D40" i="1" s="1"/>
  <c r="F40" i="1" s="1"/>
  <c r="G40" i="1" s="1"/>
  <c r="H31" i="1"/>
  <c r="K30" i="1"/>
  <c r="L30" i="1" s="1"/>
  <c r="I30" i="1"/>
  <c r="E39" i="1"/>
  <c r="I32" i="1"/>
  <c r="K32" i="1"/>
  <c r="L32" i="1" s="1"/>
  <c r="E41" i="1"/>
  <c r="K31" i="1" l="1"/>
  <c r="L31" i="1" s="1"/>
  <c r="I31" i="1"/>
  <c r="E40" i="1"/>
  <c r="I29" i="1"/>
  <c r="K29" i="1"/>
  <c r="L29" i="1" s="1"/>
  <c r="E38" i="1"/>
</calcChain>
</file>

<file path=xl/sharedStrings.xml><?xml version="1.0" encoding="utf-8"?>
<sst xmlns="http://schemas.openxmlformats.org/spreadsheetml/2006/main" count="70" uniqueCount="58">
  <si>
    <t>The University of Georgia Department of Poultry Science - Michael Czarick (mczarick@uga.edu)</t>
  </si>
  <si>
    <t>Enter green values in all sections (don't enter "$" or  "," )</t>
  </si>
  <si>
    <t>Energy Eff.</t>
  </si>
  <si>
    <t>Pressure</t>
  </si>
  <si>
    <t>Input poultry house information</t>
  </si>
  <si>
    <t>Rating</t>
  </si>
  <si>
    <t>House length (m)=</t>
  </si>
  <si>
    <t>Estimated yearly operating hours =</t>
  </si>
  <si>
    <t>House width=</t>
  </si>
  <si>
    <t>Minimum design air velocity (ft/min) =</t>
  </si>
  <si>
    <t>Side wall height=</t>
  </si>
  <si>
    <t>Minimum tunnel fan capacity (cfm/ft2) =</t>
  </si>
  <si>
    <t>Ceiling peak height=</t>
  </si>
  <si>
    <t>Total minimum tunnel fan capacity (cfm) =</t>
  </si>
  <si>
    <t>Electricty rate ($ per kw*hr) =</t>
  </si>
  <si>
    <t xml:space="preserve"> </t>
  </si>
  <si>
    <t>cfm for velocity</t>
  </si>
  <si>
    <t>velocity check</t>
  </si>
  <si>
    <t>Tunnel fan information</t>
  </si>
  <si>
    <t>Tunnel Fan Model</t>
  </si>
  <si>
    <t>Air Flow (0.05"/13 Pa)</t>
  </si>
  <si>
    <t>Air Flow (0.10"/25 Pa)</t>
  </si>
  <si>
    <t>Air Flow (0.15"/28 Pa)</t>
  </si>
  <si>
    <t>Air Flow(0.20"/51 Pa)</t>
  </si>
  <si>
    <t>Energy Efficiency</t>
  </si>
  <si>
    <t>Air Flow Ratio</t>
  </si>
  <si>
    <t>Price of Fan</t>
  </si>
  <si>
    <t>Performance</t>
  </si>
  <si>
    <t>cfm/watt @ 0.10"/25 Pa</t>
  </si>
  <si>
    <t>(calculated)</t>
  </si>
  <si>
    <t>($)</t>
  </si>
  <si>
    <t>Ratings</t>
  </si>
  <si>
    <t>Fan 1</t>
  </si>
  <si>
    <t>Poor</t>
  </si>
  <si>
    <t>Fan 2</t>
  </si>
  <si>
    <t xml:space="preserve">Good </t>
  </si>
  <si>
    <t>Fan 3</t>
  </si>
  <si>
    <t>Best</t>
  </si>
  <si>
    <t>Fan 4</t>
  </si>
  <si>
    <t>Tunnel fans required</t>
  </si>
  <si>
    <t>Design static</t>
  </si>
  <si>
    <t>Tunnel Fan</t>
  </si>
  <si>
    <t>Number of fans</t>
  </si>
  <si>
    <t xml:space="preserve">Total air moving capacity </t>
  </si>
  <si>
    <t>Total fan operating</t>
  </si>
  <si>
    <t>Average air speed</t>
  </si>
  <si>
    <t>pressure</t>
  </si>
  <si>
    <t>capacity</t>
  </si>
  <si>
    <t>required *</t>
  </si>
  <si>
    <t>at design static pressure</t>
  </si>
  <si>
    <t>cost (yearly) *</t>
  </si>
  <si>
    <t>(all fans operating)</t>
  </si>
  <si>
    <t>Total fan cost</t>
  </si>
  <si>
    <t>Five Year</t>
  </si>
  <si>
    <t>Ten Year</t>
  </si>
  <si>
    <t>Electricity cost</t>
  </si>
  <si>
    <t>Total cost</t>
  </si>
  <si>
    <t>Tunnel Fan Comparison Spreadsheet - 2014 (metric)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</si>
</sst>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=&quot;\ #.#\ &quot;m/sec&quot;"/>
    <numFmt numFmtId="165" formatCode="&quot;=&quot;\ ###\ &quot;cmh/m2&quot;"/>
    <numFmt numFmtId="166" formatCode="&quot;=&quot;\ ###,###\ &quot;cmh&quot;"/>
    <numFmt numFmtId="167" formatCode="&quot;$&quot;#,##0.00"/>
    <numFmt numFmtId="168" formatCode="0.0"/>
    <numFmt numFmtId="169" formatCode="&quot;$&quot;#,##0"/>
    <numFmt numFmtId="170" formatCode="0.##\ &quot;in&quot;"/>
    <numFmt numFmtId="171" formatCode="##.#\ &quot;Pa&quot;"/>
    <numFmt numFmtId="172" formatCode="###,###\ &quot;cfm&quot;"/>
    <numFmt numFmtId="173" formatCode="###,###\ &quot;cmh&quot;"/>
    <numFmt numFmtId="174" formatCode="#,##0\ &quot;cfm&quot;"/>
    <numFmt numFmtId="175" formatCode="#,##0\ &quot;ft/min&quot;"/>
    <numFmt numFmtId="176" formatCode="#.#\ &quot;m/sec&quot;"/>
    <numFmt numFmtId="177" formatCode="#0.0\ \F"/>
    <numFmt numFmtId="178" formatCode="#\ &quot;ft&quot;"/>
    <numFmt numFmtId="179" formatCode="#.#\ &quot;gals/min&quot;"/>
    <numFmt numFmtId="180" formatCode="#\ &quot;ft^2&quot;"/>
    <numFmt numFmtId="181" formatCode="&quot;$&quot;#,##0;[Red]&quot;$&quot;#,##0"/>
    <numFmt numFmtId="182" formatCode="[$$-409]#,##0_);[Red]\([$$-409]#,##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36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i/>
      <sz val="14"/>
      <name val="Arial"/>
      <family val="2"/>
    </font>
    <font>
      <b/>
      <sz val="14"/>
      <color indexed="17"/>
      <name val="Arial"/>
      <family val="2"/>
    </font>
    <font>
      <b/>
      <sz val="20"/>
      <color indexed="1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sz val="18"/>
      <color rgb="FF006600"/>
      <name val="Arial"/>
      <family val="2"/>
    </font>
    <font>
      <b/>
      <i/>
      <sz val="18"/>
      <color rgb="FF008000"/>
      <name val="Arial"/>
      <family val="2"/>
    </font>
    <font>
      <b/>
      <i/>
      <sz val="18"/>
      <color theme="0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b/>
      <i/>
      <sz val="18"/>
      <color rgb="FF0000FF"/>
      <name val="Arial"/>
      <family val="2"/>
    </font>
    <font>
      <b/>
      <sz val="18"/>
      <color rgb="FF0000FF"/>
      <name val="Arial"/>
      <family val="2"/>
    </font>
    <font>
      <b/>
      <i/>
      <sz val="18"/>
      <color rgb="FF00B050"/>
      <name val="Arial"/>
      <family val="2"/>
    </font>
    <font>
      <b/>
      <sz val="15"/>
      <name val="Arial"/>
      <family val="2"/>
    </font>
    <font>
      <b/>
      <i/>
      <sz val="14"/>
      <color indexed="50"/>
      <name val="Arial"/>
      <family val="2"/>
    </font>
    <font>
      <b/>
      <sz val="12"/>
      <color indexed="17"/>
      <name val="Arial"/>
      <family val="2"/>
    </font>
    <font>
      <b/>
      <sz val="14"/>
      <name val="Arial"/>
      <family val="2"/>
    </font>
    <font>
      <b/>
      <i/>
      <sz val="12"/>
      <color indexed="50"/>
      <name val="Arial"/>
      <family val="2"/>
    </font>
    <font>
      <b/>
      <sz val="18"/>
      <color rgb="FF008000"/>
      <name val="Arial"/>
      <family val="2"/>
    </font>
    <font>
      <b/>
      <sz val="18"/>
      <color rgb="FF00B050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color indexed="20"/>
      <name val="Arial"/>
      <family val="2"/>
    </font>
    <font>
      <sz val="10"/>
      <color indexed="17"/>
      <name val="Arial"/>
      <family val="2"/>
    </font>
    <font>
      <b/>
      <i/>
      <sz val="20"/>
      <color indexed="17"/>
      <name val="Arial"/>
      <family val="2"/>
    </font>
    <font>
      <sz val="14"/>
      <name val="Arial"/>
      <family val="2"/>
    </font>
    <font>
      <b/>
      <i/>
      <sz val="14"/>
      <color indexed="12"/>
      <name val="Arial"/>
      <family val="2"/>
    </font>
    <font>
      <b/>
      <sz val="18"/>
      <color indexed="12"/>
      <name val="Arial"/>
      <family val="2"/>
    </font>
    <font>
      <u/>
      <sz val="6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</cellStyleXfs>
  <cellXfs count="188">
    <xf numFmtId="0" fontId="0" fillId="0" borderId="0" xfId="0"/>
    <xf numFmtId="0" fontId="2" fillId="0" borderId="0" xfId="0" applyFont="1"/>
    <xf numFmtId="3" fontId="3" fillId="0" borderId="1" xfId="0" applyNumberFormat="1" applyFont="1" applyFill="1" applyBorder="1" applyAlignment="1" applyProtection="1">
      <alignment horizontal="left"/>
    </xf>
    <xf numFmtId="0" fontId="5" fillId="0" borderId="0" xfId="1" applyFont="1"/>
    <xf numFmtId="0" fontId="6" fillId="0" borderId="0" xfId="0" applyFont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0" fontId="0" fillId="0" borderId="0" xfId="0" applyBorder="1"/>
    <xf numFmtId="0" fontId="11" fillId="0" borderId="2" xfId="0" applyFont="1" applyFill="1" applyBorder="1"/>
    <xf numFmtId="0" fontId="11" fillId="0" borderId="3" xfId="0" applyFont="1" applyFill="1" applyBorder="1"/>
    <xf numFmtId="0" fontId="12" fillId="0" borderId="4" xfId="0" applyFont="1" applyBorder="1" applyAlignment="1">
      <alignment horizontal="center"/>
    </xf>
    <xf numFmtId="0" fontId="0" fillId="0" borderId="3" xfId="0" applyBorder="1"/>
    <xf numFmtId="3" fontId="13" fillId="0" borderId="3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6" xfId="0" applyFont="1" applyFill="1" applyBorder="1"/>
    <xf numFmtId="0" fontId="12" fillId="0" borderId="7" xfId="0" applyFont="1" applyBorder="1" applyAlignment="1">
      <alignment horizontal="center"/>
    </xf>
    <xf numFmtId="0" fontId="11" fillId="0" borderId="8" xfId="0" applyFont="1" applyBorder="1"/>
    <xf numFmtId="0" fontId="17" fillId="0" borderId="8" xfId="0" applyFont="1" applyBorder="1"/>
    <xf numFmtId="0" fontId="13" fillId="0" borderId="8" xfId="0" applyFont="1" applyBorder="1" applyAlignment="1">
      <alignment horizontal="center"/>
    </xf>
    <xf numFmtId="164" fontId="18" fillId="0" borderId="9" xfId="0" applyNumberFormat="1" applyFont="1" applyBorder="1" applyAlignment="1">
      <alignment horizontal="left"/>
    </xf>
    <xf numFmtId="0" fontId="17" fillId="0" borderId="6" xfId="0" applyFont="1" applyBorder="1"/>
    <xf numFmtId="0" fontId="13" fillId="0" borderId="6" xfId="0" applyFont="1" applyBorder="1" applyAlignment="1">
      <alignment horizontal="center"/>
    </xf>
    <xf numFmtId="165" fontId="19" fillId="0" borderId="7" xfId="0" applyNumberFormat="1" applyFont="1" applyBorder="1" applyAlignment="1">
      <alignment horizontal="left"/>
    </xf>
    <xf numFmtId="0" fontId="11" fillId="0" borderId="6" xfId="0" applyFont="1" applyBorder="1"/>
    <xf numFmtId="3" fontId="11" fillId="0" borderId="6" xfId="0" applyNumberFormat="1" applyFont="1" applyFill="1" applyBorder="1" applyAlignment="1">
      <alignment horizontal="left" indent="2"/>
    </xf>
    <xf numFmtId="3" fontId="11" fillId="0" borderId="6" xfId="0" applyNumberFormat="1" applyFont="1" applyFill="1" applyBorder="1" applyAlignment="1" applyProtection="1">
      <alignment horizontal="center"/>
    </xf>
    <xf numFmtId="166" fontId="19" fillId="0" borderId="7" xfId="0" applyNumberFormat="1" applyFont="1" applyBorder="1" applyAlignment="1">
      <alignment horizontal="left"/>
    </xf>
    <xf numFmtId="0" fontId="11" fillId="0" borderId="10" xfId="0" applyFont="1" applyFill="1" applyBorder="1"/>
    <xf numFmtId="0" fontId="17" fillId="0" borderId="11" xfId="0" applyFont="1" applyBorder="1"/>
    <xf numFmtId="167" fontId="13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9" fillId="0" borderId="0" xfId="0" applyFont="1"/>
    <xf numFmtId="0" fontId="9" fillId="0" borderId="0" xfId="0" applyFont="1" applyBorder="1"/>
    <xf numFmtId="0" fontId="11" fillId="0" borderId="0" xfId="0" applyFont="1" applyFill="1" applyBorder="1"/>
    <xf numFmtId="0" fontId="2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3" fontId="11" fillId="0" borderId="0" xfId="0" applyNumberFormat="1" applyFont="1" applyFill="1" applyBorder="1" applyAlignment="1">
      <alignment horizontal="left" indent="2"/>
    </xf>
    <xf numFmtId="3" fontId="14" fillId="0" borderId="0" xfId="0" applyNumberFormat="1" applyFont="1" applyFill="1" applyBorder="1" applyAlignment="1" applyProtection="1">
      <alignment horizontal="center"/>
    </xf>
    <xf numFmtId="0" fontId="21" fillId="2" borderId="15" xfId="0" applyFont="1" applyFill="1" applyBorder="1" applyAlignment="1" applyProtection="1">
      <alignment horizontal="center"/>
    </xf>
    <xf numFmtId="0" fontId="22" fillId="0" borderId="0" xfId="0" applyFont="1" applyAlignment="1">
      <alignment horizontal="left"/>
    </xf>
    <xf numFmtId="0" fontId="21" fillId="2" borderId="16" xfId="0" applyFont="1" applyFill="1" applyBorder="1" applyAlignment="1" applyProtection="1">
      <alignment horizontal="center"/>
    </xf>
    <xf numFmtId="0" fontId="10" fillId="0" borderId="0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15" fillId="0" borderId="0" xfId="0" applyFont="1" applyFill="1" applyBorder="1"/>
    <xf numFmtId="3" fontId="11" fillId="0" borderId="17" xfId="0" applyNumberFormat="1" applyFont="1" applyBorder="1" applyAlignment="1">
      <alignment horizontal="center"/>
    </xf>
    <xf numFmtId="0" fontId="24" fillId="2" borderId="18" xfId="0" applyFont="1" applyFill="1" applyBorder="1"/>
    <xf numFmtId="0" fontId="24" fillId="2" borderId="19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4" fillId="2" borderId="23" xfId="0" applyFont="1" applyFill="1" applyBorder="1"/>
    <xf numFmtId="0" fontId="24" fillId="2" borderId="24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0" fontId="26" fillId="0" borderId="28" xfId="0" applyFont="1" applyFill="1" applyBorder="1" applyAlignment="1" applyProtection="1">
      <alignment horizontal="center"/>
      <protection locked="0"/>
    </xf>
    <xf numFmtId="3" fontId="26" fillId="0" borderId="29" xfId="0" applyNumberFormat="1" applyFont="1" applyFill="1" applyBorder="1" applyAlignment="1" applyProtection="1">
      <alignment horizontal="center"/>
      <protection locked="0"/>
    </xf>
    <xf numFmtId="168" fontId="27" fillId="0" borderId="29" xfId="0" applyNumberFormat="1" applyFont="1" applyFill="1" applyBorder="1" applyAlignment="1" applyProtection="1">
      <alignment horizontal="center"/>
      <protection locked="0"/>
    </xf>
    <xf numFmtId="2" fontId="28" fillId="0" borderId="30" xfId="0" applyNumberFormat="1" applyFont="1" applyFill="1" applyBorder="1" applyAlignment="1" applyProtection="1">
      <alignment horizontal="center"/>
    </xf>
    <xf numFmtId="169" fontId="26" fillId="0" borderId="30" xfId="0" applyNumberFormat="1" applyFont="1" applyFill="1" applyBorder="1" applyAlignment="1" applyProtection="1">
      <alignment horizontal="center"/>
      <protection locked="0"/>
    </xf>
    <xf numFmtId="0" fontId="24" fillId="3" borderId="31" xfId="0" applyFont="1" applyFill="1" applyBorder="1" applyAlignment="1">
      <alignment horizontal="center"/>
    </xf>
    <xf numFmtId="0" fontId="26" fillId="0" borderId="32" xfId="0" applyFont="1" applyFill="1" applyBorder="1" applyAlignment="1" applyProtection="1">
      <alignment horizontal="center"/>
      <protection locked="0"/>
    </xf>
    <xf numFmtId="3" fontId="26" fillId="0" borderId="17" xfId="0" applyNumberFormat="1" applyFont="1" applyFill="1" applyBorder="1" applyAlignment="1" applyProtection="1">
      <alignment horizontal="center"/>
      <protection locked="0"/>
    </xf>
    <xf numFmtId="168" fontId="27" fillId="0" borderId="17" xfId="0" applyNumberFormat="1" applyFont="1" applyFill="1" applyBorder="1" applyAlignment="1" applyProtection="1">
      <alignment horizontal="center"/>
      <protection locked="0"/>
    </xf>
    <xf numFmtId="2" fontId="28" fillId="0" borderId="33" xfId="0" applyNumberFormat="1" applyFont="1" applyFill="1" applyBorder="1" applyAlignment="1" applyProtection="1">
      <alignment horizontal="center"/>
    </xf>
    <xf numFmtId="169" fontId="26" fillId="0" borderId="33" xfId="0" applyNumberFormat="1" applyFont="1" applyFill="1" applyBorder="1" applyAlignment="1" applyProtection="1">
      <alignment horizontal="center"/>
      <protection locked="0"/>
    </xf>
    <xf numFmtId="0" fontId="24" fillId="4" borderId="3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4" fillId="5" borderId="34" xfId="0" applyFont="1" applyFill="1" applyBorder="1" applyAlignment="1">
      <alignment horizontal="center"/>
    </xf>
    <xf numFmtId="0" fontId="26" fillId="0" borderId="35" xfId="0" applyFont="1" applyFill="1" applyBorder="1" applyAlignment="1" applyProtection="1">
      <alignment horizontal="center"/>
      <protection locked="0"/>
    </xf>
    <xf numFmtId="3" fontId="26" fillId="0" borderId="27" xfId="0" applyNumberFormat="1" applyFont="1" applyFill="1" applyBorder="1" applyAlignment="1" applyProtection="1">
      <alignment horizontal="center"/>
      <protection locked="0"/>
    </xf>
    <xf numFmtId="168" fontId="27" fillId="0" borderId="27" xfId="0" applyNumberFormat="1" applyFont="1" applyFill="1" applyBorder="1" applyAlignment="1" applyProtection="1">
      <alignment horizontal="center"/>
      <protection locked="0"/>
    </xf>
    <xf numFmtId="2" fontId="28" fillId="0" borderId="34" xfId="0" applyNumberFormat="1" applyFont="1" applyFill="1" applyBorder="1" applyAlignment="1" applyProtection="1">
      <alignment horizontal="center"/>
    </xf>
    <xf numFmtId="169" fontId="26" fillId="0" borderId="34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3" fontId="26" fillId="0" borderId="0" xfId="0" applyNumberFormat="1" applyFont="1" applyFill="1" applyBorder="1" applyAlignment="1" applyProtection="1">
      <alignment horizontal="center"/>
      <protection locked="0"/>
    </xf>
    <xf numFmtId="168" fontId="29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Alignment="1" applyProtection="1">
      <alignment horizontal="center"/>
    </xf>
    <xf numFmtId="169" fontId="26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2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Border="1" applyProtection="1"/>
    <xf numFmtId="0" fontId="10" fillId="0" borderId="0" xfId="0" applyFont="1" applyFill="1" applyBorder="1" applyProtection="1"/>
    <xf numFmtId="0" fontId="0" fillId="0" borderId="0" xfId="0" applyProtection="1"/>
    <xf numFmtId="0" fontId="15" fillId="0" borderId="0" xfId="0" applyFont="1" applyProtection="1"/>
    <xf numFmtId="0" fontId="30" fillId="0" borderId="0" xfId="0" applyFont="1" applyFill="1" applyBorder="1" applyAlignment="1" applyProtection="1">
      <alignment horizontal="center"/>
    </xf>
    <xf numFmtId="0" fontId="24" fillId="2" borderId="19" xfId="0" applyFont="1" applyFill="1" applyBorder="1" applyAlignment="1" applyProtection="1">
      <alignment horizontal="center"/>
    </xf>
    <xf numFmtId="0" fontId="24" fillId="2" borderId="21" xfId="0" applyFont="1" applyFill="1" applyBorder="1" applyAlignment="1" applyProtection="1">
      <alignment horizontal="center"/>
    </xf>
    <xf numFmtId="0" fontId="24" fillId="2" borderId="36" xfId="0" applyFont="1" applyFill="1" applyBorder="1" applyAlignment="1" applyProtection="1">
      <alignment horizontal="center"/>
    </xf>
    <xf numFmtId="0" fontId="24" fillId="2" borderId="15" xfId="0" applyFont="1" applyFill="1" applyBorder="1" applyAlignment="1" applyProtection="1">
      <alignment horizontal="center"/>
    </xf>
    <xf numFmtId="0" fontId="24" fillId="2" borderId="37" xfId="0" applyFont="1" applyFill="1" applyBorder="1" applyAlignment="1" applyProtection="1">
      <alignment horizontal="center"/>
    </xf>
    <xf numFmtId="0" fontId="31" fillId="0" borderId="0" xfId="0" applyFont="1"/>
    <xf numFmtId="0" fontId="24" fillId="2" borderId="24" xfId="0" applyFont="1" applyFill="1" applyBorder="1" applyAlignment="1" applyProtection="1">
      <alignment horizontal="center"/>
    </xf>
    <xf numFmtId="3" fontId="24" fillId="2" borderId="0" xfId="0" applyNumberFormat="1" applyFont="1" applyFill="1" applyBorder="1" applyAlignment="1">
      <alignment horizontal="center"/>
    </xf>
    <xf numFmtId="3" fontId="24" fillId="2" borderId="38" xfId="0" applyNumberFormat="1" applyFont="1" applyFill="1" applyBorder="1" applyAlignment="1">
      <alignment horizontal="center"/>
    </xf>
    <xf numFmtId="0" fontId="24" fillId="2" borderId="16" xfId="0" applyFont="1" applyFill="1" applyBorder="1" applyAlignment="1" applyProtection="1">
      <alignment horizontal="center"/>
    </xf>
    <xf numFmtId="0" fontId="24" fillId="2" borderId="39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9" fillId="0" borderId="28" xfId="0" applyFont="1" applyFill="1" applyBorder="1" applyAlignment="1" applyProtection="1">
      <alignment horizontal="center"/>
    </xf>
    <xf numFmtId="170" fontId="29" fillId="0" borderId="29" xfId="0" applyNumberFormat="1" applyFont="1" applyBorder="1" applyAlignment="1">
      <alignment horizontal="center"/>
    </xf>
    <xf numFmtId="171" fontId="18" fillId="0" borderId="29" xfId="0" applyNumberFormat="1" applyFont="1" applyBorder="1" applyAlignment="1">
      <alignment horizontal="center"/>
    </xf>
    <xf numFmtId="172" fontId="29" fillId="0" borderId="29" xfId="0" applyNumberFormat="1" applyFont="1" applyBorder="1" applyAlignment="1">
      <alignment horizontal="center"/>
    </xf>
    <xf numFmtId="173" fontId="18" fillId="0" borderId="29" xfId="0" applyNumberFormat="1" applyFont="1" applyBorder="1" applyAlignment="1">
      <alignment horizontal="center"/>
    </xf>
    <xf numFmtId="0" fontId="29" fillId="0" borderId="29" xfId="0" applyFont="1" applyFill="1" applyBorder="1" applyAlignment="1" applyProtection="1">
      <alignment horizontal="center"/>
    </xf>
    <xf numFmtId="174" fontId="29" fillId="0" borderId="29" xfId="0" applyNumberFormat="1" applyFont="1" applyFill="1" applyBorder="1" applyAlignment="1" applyProtection="1">
      <alignment horizontal="center"/>
    </xf>
    <xf numFmtId="169" fontId="29" fillId="0" borderId="29" xfId="0" applyNumberFormat="1" applyFont="1" applyFill="1" applyBorder="1" applyAlignment="1" applyProtection="1">
      <alignment horizontal="center"/>
    </xf>
    <xf numFmtId="175" fontId="29" fillId="0" borderId="29" xfId="0" applyNumberFormat="1" applyFont="1" applyFill="1" applyBorder="1" applyAlignment="1" applyProtection="1">
      <alignment horizontal="center"/>
    </xf>
    <xf numFmtId="176" fontId="18" fillId="0" borderId="40" xfId="0" applyNumberFormat="1" applyFont="1" applyFill="1" applyBorder="1" applyAlignment="1" applyProtection="1">
      <alignment horizontal="center"/>
    </xf>
    <xf numFmtId="0" fontId="29" fillId="0" borderId="32" xfId="0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/>
    </xf>
    <xf numFmtId="171" fontId="18" fillId="0" borderId="17" xfId="0" applyNumberFormat="1" applyFont="1" applyBorder="1" applyAlignment="1">
      <alignment horizontal="center"/>
    </xf>
    <xf numFmtId="172" fontId="29" fillId="0" borderId="17" xfId="0" applyNumberFormat="1" applyFont="1" applyBorder="1" applyAlignment="1">
      <alignment horizontal="center"/>
    </xf>
    <xf numFmtId="173" fontId="18" fillId="0" borderId="17" xfId="0" applyNumberFormat="1" applyFont="1" applyBorder="1" applyAlignment="1">
      <alignment horizontal="center"/>
    </xf>
    <xf numFmtId="0" fontId="29" fillId="0" borderId="17" xfId="0" applyFont="1" applyFill="1" applyBorder="1" applyAlignment="1" applyProtection="1">
      <alignment horizontal="center"/>
    </xf>
    <xf numFmtId="174" fontId="29" fillId="0" borderId="17" xfId="0" applyNumberFormat="1" applyFont="1" applyFill="1" applyBorder="1" applyAlignment="1" applyProtection="1">
      <alignment horizontal="center"/>
    </xf>
    <xf numFmtId="169" fontId="29" fillId="0" borderId="17" xfId="0" applyNumberFormat="1" applyFont="1" applyFill="1" applyBorder="1" applyAlignment="1" applyProtection="1">
      <alignment horizontal="center"/>
    </xf>
    <xf numFmtId="175" fontId="29" fillId="0" borderId="17" xfId="0" applyNumberFormat="1" applyFont="1" applyFill="1" applyBorder="1" applyAlignment="1" applyProtection="1">
      <alignment horizontal="center"/>
    </xf>
    <xf numFmtId="176" fontId="18" fillId="0" borderId="41" xfId="0" applyNumberFormat="1" applyFont="1" applyFill="1" applyBorder="1" applyAlignment="1" applyProtection="1">
      <alignment horizontal="center"/>
    </xf>
    <xf numFmtId="0" fontId="29" fillId="0" borderId="35" xfId="0" applyFont="1" applyFill="1" applyBorder="1" applyAlignment="1" applyProtection="1">
      <alignment horizontal="center"/>
    </xf>
    <xf numFmtId="170" fontId="29" fillId="0" borderId="27" xfId="0" applyNumberFormat="1" applyFont="1" applyBorder="1" applyAlignment="1">
      <alignment horizontal="center"/>
    </xf>
    <xf numFmtId="171" fontId="18" fillId="0" borderId="27" xfId="0" applyNumberFormat="1" applyFont="1" applyBorder="1" applyAlignment="1">
      <alignment horizontal="center"/>
    </xf>
    <xf numFmtId="172" fontId="29" fillId="0" borderId="27" xfId="0" applyNumberFormat="1" applyFont="1" applyBorder="1" applyAlignment="1">
      <alignment horizontal="center"/>
    </xf>
    <xf numFmtId="173" fontId="18" fillId="0" borderId="27" xfId="0" applyNumberFormat="1" applyFont="1" applyBorder="1" applyAlignment="1">
      <alignment horizontal="center"/>
    </xf>
    <xf numFmtId="0" fontId="29" fillId="0" borderId="27" xfId="0" applyFont="1" applyFill="1" applyBorder="1" applyAlignment="1" applyProtection="1">
      <alignment horizontal="center"/>
    </xf>
    <xf numFmtId="174" fontId="29" fillId="0" borderId="27" xfId="0" applyNumberFormat="1" applyFont="1" applyFill="1" applyBorder="1" applyAlignment="1" applyProtection="1">
      <alignment horizontal="center"/>
    </xf>
    <xf numFmtId="169" fontId="29" fillId="0" borderId="27" xfId="0" applyNumberFormat="1" applyFont="1" applyFill="1" applyBorder="1" applyAlignment="1" applyProtection="1">
      <alignment horizontal="center"/>
    </xf>
    <xf numFmtId="175" fontId="29" fillId="0" borderId="27" xfId="0" applyNumberFormat="1" applyFont="1" applyFill="1" applyBorder="1" applyAlignment="1" applyProtection="1">
      <alignment horizontal="center"/>
    </xf>
    <xf numFmtId="176" fontId="18" fillId="0" borderId="42" xfId="0" applyNumberFormat="1" applyFont="1" applyFill="1" applyBorder="1" applyAlignment="1" applyProtection="1">
      <alignment horizontal="center"/>
    </xf>
    <xf numFmtId="4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174" fontId="11" fillId="0" borderId="0" xfId="0" applyNumberFormat="1" applyFont="1" applyFill="1" applyBorder="1" applyAlignment="1" applyProtection="1">
      <alignment horizontal="center"/>
    </xf>
    <xf numFmtId="169" fontId="11" fillId="0" borderId="0" xfId="0" applyNumberFormat="1" applyFont="1" applyFill="1" applyBorder="1" applyAlignment="1" applyProtection="1">
      <alignment horizontal="center"/>
    </xf>
    <xf numFmtId="175" fontId="11" fillId="0" borderId="0" xfId="0" applyNumberFormat="1" applyFont="1" applyFill="1" applyBorder="1" applyAlignment="1" applyProtection="1">
      <alignment horizontal="center"/>
    </xf>
    <xf numFmtId="177" fontId="29" fillId="0" borderId="0" xfId="0" applyNumberFormat="1" applyFont="1" applyFill="1" applyBorder="1" applyAlignment="1" applyProtection="1">
      <alignment horizontal="center"/>
    </xf>
    <xf numFmtId="9" fontId="29" fillId="0" borderId="0" xfId="0" applyNumberFormat="1" applyFont="1" applyBorder="1" applyAlignment="1">
      <alignment horizontal="center"/>
    </xf>
    <xf numFmtId="177" fontId="29" fillId="0" borderId="0" xfId="0" applyNumberFormat="1" applyFont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178" fontId="29" fillId="0" borderId="0" xfId="0" applyNumberFormat="1" applyFont="1" applyBorder="1" applyAlignment="1" applyProtection="1">
      <alignment horizontal="center"/>
    </xf>
    <xf numFmtId="179" fontId="29" fillId="0" borderId="0" xfId="0" applyNumberFormat="1" applyFont="1" applyFill="1" applyBorder="1" applyAlignment="1" applyProtection="1">
      <alignment horizontal="center"/>
    </xf>
    <xf numFmtId="179" fontId="29" fillId="0" borderId="0" xfId="0" applyNumberFormat="1" applyFont="1" applyBorder="1" applyAlignment="1" applyProtection="1">
      <alignment horizontal="center"/>
    </xf>
    <xf numFmtId="0" fontId="33" fillId="0" borderId="0" xfId="0" applyFont="1" applyProtection="1"/>
    <xf numFmtId="0" fontId="3" fillId="0" borderId="0" xfId="0" applyFont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5" fillId="2" borderId="15" xfId="0" applyFont="1" applyFill="1" applyBorder="1"/>
    <xf numFmtId="0" fontId="24" fillId="2" borderId="36" xfId="0" applyFont="1" applyFill="1" applyBorder="1" applyAlignment="1">
      <alignment horizontal="center"/>
    </xf>
    <xf numFmtId="0" fontId="0" fillId="2" borderId="43" xfId="0" applyFill="1" applyBorder="1"/>
    <xf numFmtId="0" fontId="0" fillId="2" borderId="20" xfId="0" applyFill="1" applyBorder="1"/>
    <xf numFmtId="178" fontId="30" fillId="0" borderId="0" xfId="0" applyNumberFormat="1" applyFont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4" fillId="2" borderId="44" xfId="0" applyFont="1" applyFill="1" applyBorder="1" applyAlignment="1" applyProtection="1">
      <alignment horizontal="center"/>
    </xf>
    <xf numFmtId="0" fontId="24" fillId="2" borderId="45" xfId="0" applyFont="1" applyFill="1" applyBorder="1" applyAlignment="1">
      <alignment horizontal="center"/>
    </xf>
    <xf numFmtId="180" fontId="24" fillId="2" borderId="46" xfId="0" applyNumberFormat="1" applyFont="1" applyFill="1" applyBorder="1" applyAlignment="1">
      <alignment horizontal="center"/>
    </xf>
    <xf numFmtId="180" fontId="24" fillId="2" borderId="47" xfId="0" applyNumberFormat="1" applyFont="1" applyFill="1" applyBorder="1" applyAlignment="1">
      <alignment horizontal="center"/>
    </xf>
    <xf numFmtId="180" fontId="24" fillId="2" borderId="14" xfId="0" applyNumberFormat="1" applyFont="1" applyFill="1" applyBorder="1" applyAlignment="1">
      <alignment horizontal="center"/>
    </xf>
    <xf numFmtId="0" fontId="29" fillId="0" borderId="48" xfId="0" applyFont="1" applyFill="1" applyBorder="1" applyAlignment="1" applyProtection="1">
      <alignment horizontal="center"/>
    </xf>
    <xf numFmtId="181" fontId="29" fillId="0" borderId="49" xfId="0" applyNumberFormat="1" applyFont="1" applyBorder="1" applyAlignment="1">
      <alignment horizontal="center"/>
    </xf>
    <xf numFmtId="182" fontId="29" fillId="0" borderId="49" xfId="0" applyNumberFormat="1" applyFont="1" applyBorder="1" applyAlignment="1">
      <alignment horizontal="center"/>
    </xf>
    <xf numFmtId="181" fontId="37" fillId="0" borderId="49" xfId="0" applyNumberFormat="1" applyFont="1" applyBorder="1" applyAlignment="1">
      <alignment horizontal="center"/>
    </xf>
    <xf numFmtId="169" fontId="29" fillId="0" borderId="49" xfId="0" applyNumberFormat="1" applyFont="1" applyBorder="1" applyAlignment="1">
      <alignment horizontal="center"/>
    </xf>
    <xf numFmtId="181" fontId="37" fillId="0" borderId="50" xfId="0" applyNumberFormat="1" applyFont="1" applyFill="1" applyBorder="1" applyAlignment="1">
      <alignment horizontal="center"/>
    </xf>
    <xf numFmtId="181" fontId="29" fillId="0" borderId="17" xfId="0" applyNumberFormat="1" applyFont="1" applyBorder="1" applyAlignment="1">
      <alignment horizontal="center"/>
    </xf>
    <xf numFmtId="182" fontId="29" fillId="0" borderId="17" xfId="0" applyNumberFormat="1" applyFont="1" applyBorder="1" applyAlignment="1">
      <alignment horizontal="center"/>
    </xf>
    <xf numFmtId="181" fontId="37" fillId="0" borderId="17" xfId="0" applyNumberFormat="1" applyFont="1" applyBorder="1" applyAlignment="1">
      <alignment horizontal="center"/>
    </xf>
    <xf numFmtId="169" fontId="29" fillId="0" borderId="17" xfId="0" applyNumberFormat="1" applyFont="1" applyBorder="1" applyAlignment="1">
      <alignment horizontal="center"/>
    </xf>
    <xf numFmtId="181" fontId="37" fillId="0" borderId="41" xfId="0" applyNumberFormat="1" applyFont="1" applyFill="1" applyBorder="1" applyAlignment="1">
      <alignment horizontal="center"/>
    </xf>
    <xf numFmtId="181" fontId="29" fillId="0" borderId="27" xfId="0" applyNumberFormat="1" applyFont="1" applyBorder="1" applyAlignment="1">
      <alignment horizontal="center"/>
    </xf>
    <xf numFmtId="182" fontId="29" fillId="0" borderId="27" xfId="0" applyNumberFormat="1" applyFont="1" applyBorder="1" applyAlignment="1">
      <alignment horizontal="center"/>
    </xf>
    <xf numFmtId="181" fontId="37" fillId="0" borderId="27" xfId="0" applyNumberFormat="1" applyFont="1" applyBorder="1" applyAlignment="1">
      <alignment horizontal="center"/>
    </xf>
    <xf numFmtId="169" fontId="29" fillId="0" borderId="27" xfId="0" applyNumberFormat="1" applyFont="1" applyBorder="1" applyAlignment="1">
      <alignment horizontal="center"/>
    </xf>
    <xf numFmtId="181" fontId="37" fillId="0" borderId="42" xfId="0" applyNumberFormat="1" applyFont="1" applyFill="1" applyBorder="1" applyAlignment="1">
      <alignment horizontal="center"/>
    </xf>
  </cellXfs>
  <cellStyles count="6">
    <cellStyle name="Hyperlink 2" xfId="2"/>
    <cellStyle name="Normal" xfId="0" builtinId="0"/>
    <cellStyle name="Normal 2" xfId="1"/>
    <cellStyle name="Normal 2 2" xfId="3"/>
    <cellStyle name="Normal 3" xfId="4"/>
    <cellStyle name="Normal 4" xfId="5"/>
  </cellStyles>
  <dxfs count="4"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b/>
        <i val="0"/>
        <color rgb="FFFFC000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374543</xdr:colOff>
      <xdr:row>13</xdr:row>
      <xdr:rowOff>116237</xdr:rowOff>
    </xdr:from>
    <xdr:ext cx="184731" cy="264560"/>
    <xdr:sp macro="" textlink="">
      <xdr:nvSpPr>
        <xdr:cNvPr id="2" name="TextBox 1"/>
        <xdr:cNvSpPr txBox="1"/>
      </xdr:nvSpPr>
      <xdr:spPr>
        <a:xfrm>
          <a:off x="1022243" y="4678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2873</xdr:colOff>
      <xdr:row>11</xdr:row>
      <xdr:rowOff>36055</xdr:rowOff>
    </xdr:from>
    <xdr:ext cx="9201237" cy="937757"/>
    <xdr:sp macro="" textlink="">
      <xdr:nvSpPr>
        <xdr:cNvPr id="3" name="TextBox 2"/>
        <xdr:cNvSpPr txBox="1"/>
      </xdr:nvSpPr>
      <xdr:spPr>
        <a:xfrm>
          <a:off x="14528498" y="3969880"/>
          <a:ext cx="9201237" cy="93775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aseline="0"/>
            <a:t>M</a:t>
          </a:r>
          <a:r>
            <a:rPr lang="en-US" sz="1800"/>
            <a:t>inimum</a:t>
          </a:r>
          <a:r>
            <a:rPr lang="en-US" sz="1800" baseline="0"/>
            <a:t> ventilation tunnel fan capacity to insure more tthan a 2.8 C (5 F) temperature rise </a:t>
          </a:r>
        </a:p>
        <a:p>
          <a:r>
            <a:rPr lang="en-US" sz="1800" baseline="0"/>
            <a:t> typically requires between 9 and 11 cfm/ft2 of floor area.  A more precise minimum tunnel fan  </a:t>
          </a:r>
        </a:p>
        <a:p>
          <a:r>
            <a:rPr lang="en-US" sz="1800"/>
            <a:t>capacity can be determined by using the UGA Poultry House Heat Gain Spreadsheet.</a:t>
          </a:r>
        </a:p>
      </xdr:txBody>
    </xdr:sp>
    <xdr:clientData/>
  </xdr:oneCellAnchor>
  <xdr:oneCellAnchor>
    <xdr:from>
      <xdr:col>7</xdr:col>
      <xdr:colOff>74418</xdr:colOff>
      <xdr:row>1</xdr:row>
      <xdr:rowOff>71136</xdr:rowOff>
    </xdr:from>
    <xdr:ext cx="12439046" cy="937757"/>
    <xdr:sp macro="" textlink="">
      <xdr:nvSpPr>
        <xdr:cNvPr id="4" name="TextBox 3"/>
        <xdr:cNvSpPr txBox="1"/>
      </xdr:nvSpPr>
      <xdr:spPr>
        <a:xfrm>
          <a:off x="14600043" y="699786"/>
          <a:ext cx="12439046" cy="93775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/>
            <a:t>Estimated yearly operating hours can be very difficult to estimate.  On average for a producer growing a large broiler the average</a:t>
          </a:r>
        </a:p>
        <a:p>
          <a:r>
            <a:rPr lang="en-US" sz="1800"/>
            <a:t>number of operating hours per fan is between 1,750 and 2,500 hours.  For producers growing smaller birds the average tunnel fan </a:t>
          </a:r>
        </a:p>
        <a:p>
          <a:r>
            <a:rPr lang="en-US" sz="1800"/>
            <a:t>operating hours is often 30% or lower.</a:t>
          </a:r>
        </a:p>
      </xdr:txBody>
    </xdr:sp>
    <xdr:clientData/>
  </xdr:oneCellAnchor>
  <xdr:oneCellAnchor>
    <xdr:from>
      <xdr:col>5</xdr:col>
      <xdr:colOff>2024308</xdr:colOff>
      <xdr:row>22</xdr:row>
      <xdr:rowOff>154983</xdr:rowOff>
    </xdr:from>
    <xdr:ext cx="7978018" cy="655949"/>
    <xdr:sp macro="" textlink="">
      <xdr:nvSpPr>
        <xdr:cNvPr id="5" name="TextBox 4"/>
        <xdr:cNvSpPr txBox="1"/>
      </xdr:nvSpPr>
      <xdr:spPr>
        <a:xfrm>
          <a:off x="11863633" y="7270158"/>
          <a:ext cx="7978018" cy="655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/>
            <a:t>More details on Tunnel</a:t>
          </a:r>
          <a:r>
            <a:rPr lang="en-US" sz="1800" baseline="0"/>
            <a:t> performance fan ratings can be found at</a:t>
          </a:r>
        </a:p>
        <a:p>
          <a:pPr algn="ctr"/>
          <a:r>
            <a:rPr lang="en-US" sz="1800" baseline="0"/>
            <a:t>www.poultryventilation.com (https://www.poultryventilation.com/tips/vol24/n12</a:t>
          </a:r>
          <a:r>
            <a:rPr lang="en-US" sz="1600" baseline="0"/>
            <a:t>)</a:t>
          </a:r>
          <a:endParaRPr lang="en-US" sz="1600"/>
        </a:p>
      </xdr:txBody>
    </xdr:sp>
    <xdr:clientData/>
  </xdr:oneCellAnchor>
  <xdr:twoCellAnchor>
    <xdr:from>
      <xdr:col>6</xdr:col>
      <xdr:colOff>1698625</xdr:colOff>
      <xdr:row>7</xdr:row>
      <xdr:rowOff>206375</xdr:rowOff>
    </xdr:from>
    <xdr:to>
      <xdr:col>7</xdr:col>
      <xdr:colOff>15875</xdr:colOff>
      <xdr:row>11</xdr:row>
      <xdr:rowOff>31750</xdr:rowOff>
    </xdr:to>
    <xdr:cxnSp macro="">
      <xdr:nvCxnSpPr>
        <xdr:cNvPr id="6" name="Straight Arrow Connector 5"/>
        <xdr:cNvCxnSpPr/>
      </xdr:nvCxnSpPr>
      <xdr:spPr>
        <a:xfrm flipH="1" flipV="1">
          <a:off x="13919200" y="2882900"/>
          <a:ext cx="622300" cy="10826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1571625</xdr:colOff>
      <xdr:row>3</xdr:row>
      <xdr:rowOff>269875</xdr:rowOff>
    </xdr:from>
    <xdr:to>
      <xdr:col>7</xdr:col>
      <xdr:colOff>79375</xdr:colOff>
      <xdr:row>5</xdr:row>
      <xdr:rowOff>158750</xdr:rowOff>
    </xdr:to>
    <xdr:cxnSp macro="">
      <xdr:nvCxnSpPr>
        <xdr:cNvPr id="7" name="Straight Arrow Connector 6"/>
        <xdr:cNvCxnSpPr/>
      </xdr:nvCxnSpPr>
      <xdr:spPr>
        <a:xfrm flipH="1">
          <a:off x="13792200" y="1660525"/>
          <a:ext cx="812800" cy="5461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412750</xdr:colOff>
      <xdr:row>17</xdr:row>
      <xdr:rowOff>63500</xdr:rowOff>
    </xdr:from>
    <xdr:to>
      <xdr:col>10</xdr:col>
      <xdr:colOff>266700</xdr:colOff>
      <xdr:row>22</xdr:row>
      <xdr:rowOff>174625</xdr:rowOff>
    </xdr:to>
    <xdr:cxnSp macro="">
      <xdr:nvCxnSpPr>
        <xdr:cNvPr id="8" name="Straight Arrow Connector 7"/>
        <xdr:cNvCxnSpPr/>
      </xdr:nvCxnSpPr>
      <xdr:spPr>
        <a:xfrm flipV="1">
          <a:off x="19815175" y="5807075"/>
          <a:ext cx="1597025" cy="14827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AppData\Local\Temp\PsychProcess09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ing"/>
      <sheetName val="Heat Rec'ry"/>
      <sheetName val="Htg Coil"/>
      <sheetName val="Clg-Coil"/>
      <sheetName val="Clg Coil-BP"/>
    </sheetNames>
    <sheetDataSet>
      <sheetData sheetId="0">
        <row r="6">
          <cell r="B6">
            <v>5000</v>
          </cell>
          <cell r="F6">
            <v>1000</v>
          </cell>
        </row>
        <row r="10">
          <cell r="B10" t="e">
            <v>#NAME?</v>
          </cell>
          <cell r="F10" t="e">
            <v>#NAME?</v>
          </cell>
        </row>
        <row r="13">
          <cell r="D13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8">
          <cell r="D18" t="e">
            <v>#VALUE!</v>
          </cell>
        </row>
        <row r="22">
          <cell r="D22" t="e">
            <v>#NAME?</v>
          </cell>
        </row>
      </sheetData>
      <sheetData sheetId="1">
        <row r="6">
          <cell r="B6">
            <v>70</v>
          </cell>
          <cell r="F6">
            <v>75</v>
          </cell>
        </row>
        <row r="7">
          <cell r="B7">
            <v>65</v>
          </cell>
          <cell r="F7">
            <v>63</v>
          </cell>
        </row>
        <row r="9">
          <cell r="B9">
            <v>10000</v>
          </cell>
          <cell r="F9">
            <v>96</v>
          </cell>
        </row>
        <row r="10">
          <cell r="F10">
            <v>75</v>
          </cell>
        </row>
        <row r="11">
          <cell r="B11">
            <v>41883.187178557091</v>
          </cell>
        </row>
        <row r="12">
          <cell r="B12">
            <v>0</v>
          </cell>
        </row>
        <row r="14">
          <cell r="E14">
            <v>280.08483792107023</v>
          </cell>
          <cell r="H14">
            <v>81.3</v>
          </cell>
        </row>
        <row r="15">
          <cell r="B15">
            <v>2000</v>
          </cell>
          <cell r="E15">
            <v>151.54765823018138</v>
          </cell>
          <cell r="H15">
            <v>67.300000000012744</v>
          </cell>
        </row>
        <row r="18">
          <cell r="B18">
            <v>9.5379764374263539E-3</v>
          </cell>
          <cell r="E18">
            <v>1.3841563374104224E-2</v>
          </cell>
          <cell r="H18">
            <v>1.1044231865263609E-2</v>
          </cell>
        </row>
        <row r="21">
          <cell r="E21">
            <v>0.24614565413810227</v>
          </cell>
        </row>
        <row r="22">
          <cell r="B22">
            <v>28.437407615475657</v>
          </cell>
          <cell r="E22">
            <v>38.315881537182399</v>
          </cell>
          <cell r="H22">
            <v>31.628595855531479</v>
          </cell>
        </row>
        <row r="23">
          <cell r="E23">
            <v>14.325557351738064</v>
          </cell>
        </row>
      </sheetData>
      <sheetData sheetId="2">
        <row r="3">
          <cell r="B3">
            <v>2000</v>
          </cell>
          <cell r="J3">
            <v>20</v>
          </cell>
        </row>
        <row r="4">
          <cell r="B4">
            <v>75</v>
          </cell>
          <cell r="J4">
            <v>15</v>
          </cell>
        </row>
        <row r="5">
          <cell r="J5">
            <v>20</v>
          </cell>
        </row>
        <row r="6">
          <cell r="B6">
            <v>8923.5438907123807</v>
          </cell>
          <cell r="F6">
            <v>102.5849952388125</v>
          </cell>
          <cell r="J6">
            <v>7.3535100911001491E-4</v>
          </cell>
        </row>
        <row r="7">
          <cell r="F7">
            <v>68.184995238820591</v>
          </cell>
        </row>
        <row r="8">
          <cell r="B8">
            <v>68</v>
          </cell>
        </row>
        <row r="9">
          <cell r="B9">
            <v>56</v>
          </cell>
        </row>
        <row r="10">
          <cell r="B10">
            <v>0</v>
          </cell>
          <cell r="F10">
            <v>6.7944449113485194E-3</v>
          </cell>
        </row>
        <row r="11">
          <cell r="B11">
            <v>14.696</v>
          </cell>
        </row>
        <row r="12">
          <cell r="B12">
            <v>29.921349920000001</v>
          </cell>
        </row>
        <row r="14">
          <cell r="J14" t="str">
            <v>Sat Steam</v>
          </cell>
        </row>
        <row r="15">
          <cell r="B15">
            <v>6.7944449113485194E-3</v>
          </cell>
          <cell r="J15">
            <v>212</v>
          </cell>
        </row>
        <row r="16">
          <cell r="J16">
            <v>1150.04</v>
          </cell>
        </row>
        <row r="17">
          <cell r="J17">
            <v>10.813718074914609</v>
          </cell>
        </row>
        <row r="18">
          <cell r="B18">
            <v>0.24301673354063874</v>
          </cell>
          <cell r="J18">
            <v>0.47031306094073067</v>
          </cell>
        </row>
        <row r="20">
          <cell r="B20">
            <v>13.447572115927612</v>
          </cell>
        </row>
      </sheetData>
      <sheetData sheetId="3">
        <row r="3">
          <cell r="B3">
            <v>4000</v>
          </cell>
          <cell r="I3">
            <v>2</v>
          </cell>
        </row>
        <row r="4">
          <cell r="B4">
            <v>120</v>
          </cell>
          <cell r="I4">
            <v>65</v>
          </cell>
        </row>
        <row r="5">
          <cell r="B5">
            <v>100</v>
          </cell>
          <cell r="I5">
            <v>82</v>
          </cell>
        </row>
        <row r="6">
          <cell r="B6">
            <v>3897.1217604865501</v>
          </cell>
          <cell r="I6">
            <v>1.8883691147118353</v>
          </cell>
        </row>
        <row r="7">
          <cell r="I7">
            <v>5.8608529230995376</v>
          </cell>
        </row>
        <row r="8">
          <cell r="B8">
            <v>75</v>
          </cell>
          <cell r="F8">
            <v>17537.047922189475</v>
          </cell>
          <cell r="I8">
            <v>114.13914707690046</v>
          </cell>
        </row>
        <row r="9">
          <cell r="B9">
            <v>63</v>
          </cell>
          <cell r="I9">
            <v>94.139147076900457</v>
          </cell>
        </row>
        <row r="10">
          <cell r="B10">
            <v>0</v>
          </cell>
        </row>
        <row r="11">
          <cell r="B11">
            <v>14.696</v>
          </cell>
        </row>
        <row r="12">
          <cell r="B12">
            <v>29.921349920000001</v>
          </cell>
          <cell r="I12">
            <v>53.020893425035787</v>
          </cell>
        </row>
        <row r="13">
          <cell r="I13">
            <v>52.920893425051702</v>
          </cell>
        </row>
        <row r="15">
          <cell r="B15">
            <v>9.5330130152183248E-3</v>
          </cell>
          <cell r="I15">
            <v>8.4614514704775042E-3</v>
          </cell>
        </row>
        <row r="18">
          <cell r="B18">
            <v>0.24423265777875694</v>
          </cell>
        </row>
        <row r="20">
          <cell r="B20">
            <v>13.685313575287097</v>
          </cell>
        </row>
      </sheetData>
      <sheetData sheetId="4">
        <row r="4">
          <cell r="B4">
            <v>4000</v>
          </cell>
          <cell r="F4">
            <v>17325.769365781845</v>
          </cell>
        </row>
        <row r="5">
          <cell r="B5">
            <v>47</v>
          </cell>
        </row>
        <row r="6">
          <cell r="B6">
            <v>0.1</v>
          </cell>
        </row>
        <row r="8">
          <cell r="F8">
            <v>50.28</v>
          </cell>
        </row>
        <row r="9">
          <cell r="B9">
            <v>79.8</v>
          </cell>
          <cell r="F9">
            <v>49.480000000015764</v>
          </cell>
        </row>
        <row r="10">
          <cell r="B10">
            <v>67.099999999999994</v>
          </cell>
          <cell r="F10">
            <v>6.812974961532701E-3</v>
          </cell>
        </row>
        <row r="11">
          <cell r="B11">
            <v>0</v>
          </cell>
        </row>
        <row r="12">
          <cell r="F12">
            <v>201.02158157377792</v>
          </cell>
        </row>
        <row r="13">
          <cell r="F13">
            <v>125.31448285034858</v>
          </cell>
        </row>
        <row r="16">
          <cell r="B16">
            <v>1.1294677954511717E-2</v>
          </cell>
          <cell r="F16">
            <v>7.2611452608306029E-3</v>
          </cell>
        </row>
        <row r="19">
          <cell r="B19">
            <v>0.24501483701180318</v>
          </cell>
        </row>
        <row r="20">
          <cell r="B20">
            <v>31.535837303278825</v>
          </cell>
          <cell r="F20">
            <v>19.933375252110537</v>
          </cell>
        </row>
        <row r="21">
          <cell r="B21">
            <v>13.852198706626945</v>
          </cell>
          <cell r="F21">
            <v>13.010798391517705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="60" zoomScaleNormal="60" workbookViewId="0">
      <selection activeCell="B2" sqref="B2"/>
    </sheetView>
  </sheetViews>
  <sheetFormatPr defaultRowHeight="12.75" x14ac:dyDescent="0.2"/>
  <cols>
    <col min="1" max="1" width="9.7109375" customWidth="1"/>
    <col min="2" max="2" width="30.7109375" customWidth="1"/>
    <col min="3" max="6" width="35.7109375" customWidth="1"/>
    <col min="7" max="7" width="34.5703125" customWidth="1"/>
    <col min="8" max="8" width="37.28515625" customWidth="1"/>
    <col min="9" max="9" width="35.85546875" customWidth="1"/>
    <col min="10" max="10" width="26.140625" customWidth="1"/>
    <col min="11" max="11" width="30.85546875" customWidth="1"/>
    <col min="12" max="12" width="35.42578125" customWidth="1"/>
    <col min="13" max="16" width="40.7109375" customWidth="1"/>
    <col min="17" max="17" width="8.5703125" customWidth="1"/>
    <col min="18" max="19" width="36.5703125" customWidth="1"/>
    <col min="20" max="20" width="35.5703125" customWidth="1"/>
    <col min="21" max="22" width="9.140625" customWidth="1"/>
  </cols>
  <sheetData>
    <row r="1" spans="2:21" ht="50.1" customHeight="1" x14ac:dyDescent="0.55000000000000004">
      <c r="B1" s="1" t="s">
        <v>57</v>
      </c>
      <c r="S1" s="2">
        <f>+G9</f>
        <v>139317.38779897877</v>
      </c>
    </row>
    <row r="2" spans="2:21" ht="30" customHeight="1" x14ac:dyDescent="0.3">
      <c r="B2" s="3" t="s">
        <v>0</v>
      </c>
      <c r="H2" s="4"/>
      <c r="S2" s="5"/>
    </row>
    <row r="3" spans="2:21" ht="30" customHeight="1" x14ac:dyDescent="0.25">
      <c r="B3" s="6" t="s">
        <v>1</v>
      </c>
      <c r="S3" s="5"/>
    </row>
    <row r="4" spans="2:21" ht="30" customHeight="1" x14ac:dyDescent="0.4">
      <c r="B4" s="7"/>
      <c r="R4" s="8" t="s">
        <v>2</v>
      </c>
      <c r="S4" s="8" t="s">
        <v>3</v>
      </c>
    </row>
    <row r="5" spans="2:21" ht="21.95" customHeight="1" thickBot="1" x14ac:dyDescent="0.45">
      <c r="B5" s="9" t="s">
        <v>4</v>
      </c>
      <c r="L5" s="10"/>
      <c r="R5" s="8" t="s">
        <v>5</v>
      </c>
      <c r="S5" s="8" t="s">
        <v>5</v>
      </c>
    </row>
    <row r="6" spans="2:21" ht="24.95" customHeight="1" x14ac:dyDescent="0.35">
      <c r="B6" s="11" t="s">
        <v>6</v>
      </c>
      <c r="C6" s="12"/>
      <c r="D6" s="13">
        <v>120</v>
      </c>
      <c r="E6" s="12" t="s">
        <v>7</v>
      </c>
      <c r="F6" s="14"/>
      <c r="G6" s="15">
        <v>2500</v>
      </c>
      <c r="H6" s="16"/>
      <c r="L6" s="17">
        <f>+D6/0.305</f>
        <v>393.44262295081967</v>
      </c>
      <c r="Q6" s="5"/>
      <c r="R6" s="18">
        <f>+IF(G19&gt;=22,4,IF(G19&gt;=21,3,IF(G19&gt;=20,2,IF(G19&gt;=19,1,0))))</f>
        <v>4</v>
      </c>
      <c r="S6" s="18">
        <f>+IF(T6&gt;0.82,4,IF(T6&gt;0.77,3,IF(T6&gt;0.72,2,IF(T6&gt;=0.7,1,0))))</f>
        <v>3</v>
      </c>
      <c r="T6" s="19">
        <f>ROUND(F19/C19,2)</f>
        <v>0.79</v>
      </c>
    </row>
    <row r="7" spans="2:21" ht="24.95" customHeight="1" x14ac:dyDescent="0.35">
      <c r="B7" s="20" t="s">
        <v>8</v>
      </c>
      <c r="C7" s="21"/>
      <c r="D7" s="22">
        <v>12</v>
      </c>
      <c r="E7" s="23" t="s">
        <v>9</v>
      </c>
      <c r="F7" s="24"/>
      <c r="G7" s="25">
        <v>500</v>
      </c>
      <c r="H7" s="26">
        <f>+G7/200</f>
        <v>2.5</v>
      </c>
      <c r="L7" s="17">
        <f>+D7/0.305</f>
        <v>39.344262295081968</v>
      </c>
      <c r="Q7" s="5"/>
      <c r="R7" s="18">
        <f>+IF(G20&gt;=22,4,IF(G20&gt;=21,3,IF(G20&gt;=20,2,IF(G20&gt;=19,1,0))))</f>
        <v>4</v>
      </c>
      <c r="S7" s="18">
        <f>+IF(T7&gt;0.82,4,IF(T7&gt;0.77,3,IF(T7&gt;0.72,2,IF(T7&gt;=0.7,1,0))))</f>
        <v>3</v>
      </c>
      <c r="T7" s="19">
        <f>ROUND(F20/C20,2)</f>
        <v>0.79</v>
      </c>
    </row>
    <row r="8" spans="2:21" ht="24.95" customHeight="1" x14ac:dyDescent="0.35">
      <c r="B8" s="20" t="s">
        <v>10</v>
      </c>
      <c r="C8" s="21"/>
      <c r="D8" s="22">
        <v>2</v>
      </c>
      <c r="E8" s="21" t="s">
        <v>11</v>
      </c>
      <c r="F8" s="27"/>
      <c r="G8" s="28">
        <v>9</v>
      </c>
      <c r="H8" s="29">
        <f>+G8*1.7/0.305/0.305</f>
        <v>164.47191615157215</v>
      </c>
      <c r="L8" s="17">
        <f>+D8/0.305</f>
        <v>6.557377049180328</v>
      </c>
      <c r="Q8" s="5"/>
      <c r="R8" s="18"/>
      <c r="S8" s="18"/>
      <c r="T8" s="19"/>
    </row>
    <row r="9" spans="2:21" ht="24.95" customHeight="1" x14ac:dyDescent="0.35">
      <c r="B9" s="20" t="s">
        <v>12</v>
      </c>
      <c r="C9" s="21"/>
      <c r="D9" s="22">
        <v>2.5</v>
      </c>
      <c r="E9" s="30" t="s">
        <v>13</v>
      </c>
      <c r="F9" s="31"/>
      <c r="G9" s="32">
        <f>+G8*L6*L7</f>
        <v>139317.38779897877</v>
      </c>
      <c r="H9" s="33">
        <f>+G9*1.7</f>
        <v>236839.55925826391</v>
      </c>
      <c r="L9" s="17">
        <f>+D9/0.305</f>
        <v>8.1967213114754092</v>
      </c>
      <c r="R9" s="18">
        <f>+IF(G21&gt;=22,4,IF(G21&gt;=21,3,IF(G21&gt;=20,2,IF(G21&gt;=19,1,0))))</f>
        <v>4</v>
      </c>
      <c r="S9" s="18">
        <f>+IF(T9&gt;0.82,4,IF(T9&gt;0.77,3,IF(T9&gt;0.72,2,IF(T9&gt;=0.7,1,0))))</f>
        <v>3</v>
      </c>
      <c r="T9" s="19">
        <f>ROUND(F21/C21,2)</f>
        <v>0.79</v>
      </c>
    </row>
    <row r="10" spans="2:21" ht="24.95" customHeight="1" thickBot="1" x14ac:dyDescent="0.4">
      <c r="B10" s="34" t="s">
        <v>14</v>
      </c>
      <c r="C10" s="35"/>
      <c r="D10" s="36">
        <v>0.1</v>
      </c>
      <c r="E10" s="37"/>
      <c r="F10" s="37"/>
      <c r="G10" s="37"/>
      <c r="H10" s="38"/>
      <c r="R10" s="39"/>
      <c r="S10" s="39"/>
    </row>
    <row r="11" spans="2:21" ht="24.95" customHeight="1" thickBot="1" x14ac:dyDescent="0.4">
      <c r="B11" s="40"/>
      <c r="C11" s="41"/>
      <c r="D11" s="42"/>
      <c r="E11" s="43"/>
      <c r="F11" s="44"/>
      <c r="G11" s="45"/>
      <c r="R11" s="39"/>
      <c r="S11" s="39"/>
    </row>
    <row r="12" spans="2:21" ht="24.95" customHeight="1" x14ac:dyDescent="0.3">
      <c r="B12" s="43"/>
      <c r="E12" s="43" t="s">
        <v>15</v>
      </c>
      <c r="H12" s="10"/>
      <c r="R12" s="46" t="s">
        <v>16</v>
      </c>
      <c r="S12" s="46" t="s">
        <v>17</v>
      </c>
      <c r="U12" s="47"/>
    </row>
    <row r="13" spans="2:21" ht="24.95" customHeight="1" x14ac:dyDescent="0.3">
      <c r="B13" s="43"/>
      <c r="E13" s="43"/>
      <c r="H13" s="10"/>
      <c r="I13" s="10"/>
      <c r="R13" s="48"/>
      <c r="S13" s="48"/>
      <c r="U13" s="47"/>
    </row>
    <row r="14" spans="2:21" ht="24.95" customHeight="1" x14ac:dyDescent="0.3">
      <c r="B14" s="43"/>
      <c r="E14" s="43"/>
      <c r="H14" s="10"/>
      <c r="I14" s="10"/>
      <c r="R14" s="48"/>
      <c r="S14" s="48"/>
      <c r="U14" s="47"/>
    </row>
    <row r="15" spans="2:21" ht="24.95" customHeight="1" x14ac:dyDescent="0.3">
      <c r="B15" s="43"/>
      <c r="E15" s="43"/>
      <c r="H15" s="10"/>
      <c r="R15" s="48"/>
      <c r="S15" s="48"/>
      <c r="U15" s="47"/>
    </row>
    <row r="16" spans="2:21" s="39" customFormat="1" ht="21.95" customHeight="1" thickBot="1" x14ac:dyDescent="0.45">
      <c r="B16" s="49" t="s">
        <v>18</v>
      </c>
      <c r="C16" s="43"/>
      <c r="D16" s="50"/>
      <c r="E16" s="51"/>
      <c r="F16" s="50"/>
      <c r="G16" s="52"/>
      <c r="H16" s="52"/>
      <c r="J16" s="43"/>
      <c r="R16" s="53">
        <f>+($L$8+$L$9)/2*$L$7*$G$7</f>
        <v>145122.27895726953</v>
      </c>
      <c r="S16" s="53">
        <f>+IF(R16&gt;$S$1,R16,$S$1)</f>
        <v>145122.27895726953</v>
      </c>
      <c r="T16"/>
      <c r="U16" s="47"/>
    </row>
    <row r="17" spans="1:21" s="39" customFormat="1" ht="21.95" customHeight="1" x14ac:dyDescent="0.35">
      <c r="B17" s="54" t="s">
        <v>19</v>
      </c>
      <c r="C17" s="55" t="s">
        <v>20</v>
      </c>
      <c r="D17" s="56" t="s">
        <v>21</v>
      </c>
      <c r="E17" s="56" t="s">
        <v>22</v>
      </c>
      <c r="F17" s="57" t="s">
        <v>23</v>
      </c>
      <c r="G17" s="58" t="s">
        <v>24</v>
      </c>
      <c r="H17" s="59" t="s">
        <v>25</v>
      </c>
      <c r="I17" s="59" t="s">
        <v>26</v>
      </c>
      <c r="K17" s="59" t="s">
        <v>27</v>
      </c>
      <c r="R17" s="53">
        <f>+($L$8+$L$9)/2*$L$7*$G$7</f>
        <v>145122.27895726953</v>
      </c>
      <c r="S17" s="53">
        <f>+IF(R17&gt;$S$1,R17,$S$1)</f>
        <v>145122.27895726953</v>
      </c>
      <c r="U17" s="60"/>
    </row>
    <row r="18" spans="1:21" s="39" customFormat="1" ht="21.95" customHeight="1" thickBot="1" x14ac:dyDescent="0.4">
      <c r="B18" s="61"/>
      <c r="C18" s="62"/>
      <c r="D18" s="63"/>
      <c r="E18" s="63"/>
      <c r="F18" s="64"/>
      <c r="G18" s="65" t="s">
        <v>28</v>
      </c>
      <c r="H18" s="66" t="s">
        <v>29</v>
      </c>
      <c r="I18" s="66" t="s">
        <v>30</v>
      </c>
      <c r="K18" s="67" t="s">
        <v>31</v>
      </c>
      <c r="R18" s="68">
        <f>+($L$8+$L$9)/2*$L$7*$G$7</f>
        <v>145122.27895726953</v>
      </c>
      <c r="S18" s="68">
        <f>+IF(R18&gt;$S$1,R18,$S$1)</f>
        <v>145122.27895726953</v>
      </c>
      <c r="T18" s="8"/>
      <c r="U18" s="43"/>
    </row>
    <row r="19" spans="1:21" s="39" customFormat="1" ht="21" customHeight="1" thickBot="1" x14ac:dyDescent="0.4">
      <c r="B19" s="69" t="s">
        <v>32</v>
      </c>
      <c r="C19" s="70">
        <v>27700</v>
      </c>
      <c r="D19" s="70">
        <v>24026</v>
      </c>
      <c r="E19" s="70">
        <v>23134</v>
      </c>
      <c r="F19" s="70">
        <v>22000</v>
      </c>
      <c r="G19" s="71">
        <v>22</v>
      </c>
      <c r="H19" s="72">
        <f>+F19/C19</f>
        <v>0.79422382671480141</v>
      </c>
      <c r="I19" s="73">
        <v>1000</v>
      </c>
      <c r="K19" s="74" t="s">
        <v>33</v>
      </c>
      <c r="R19" s="68">
        <f>+($L$8+$L$9)/2*$L$7*$G$7</f>
        <v>145122.27895726953</v>
      </c>
      <c r="S19" s="68">
        <f>+IF(R19&gt;$S$1,R19,$S$1)</f>
        <v>145122.27895726953</v>
      </c>
      <c r="T19" s="8"/>
      <c r="U19" s="43"/>
    </row>
    <row r="20" spans="1:21" s="39" customFormat="1" ht="21.95" customHeight="1" x14ac:dyDescent="0.35">
      <c r="B20" s="75" t="s">
        <v>34</v>
      </c>
      <c r="C20" s="76">
        <v>27700</v>
      </c>
      <c r="D20" s="76">
        <v>24026</v>
      </c>
      <c r="E20" s="76">
        <v>23134</v>
      </c>
      <c r="F20" s="76">
        <v>22000</v>
      </c>
      <c r="G20" s="77">
        <v>22</v>
      </c>
      <c r="H20" s="78">
        <f>+F20/C20</f>
        <v>0.79422382671480141</v>
      </c>
      <c r="I20" s="79">
        <v>1000</v>
      </c>
      <c r="K20" s="80" t="s">
        <v>35</v>
      </c>
      <c r="T20" s="81"/>
    </row>
    <row r="21" spans="1:21" s="39" customFormat="1" ht="21.95" customHeight="1" thickBot="1" x14ac:dyDescent="0.4">
      <c r="B21" s="75" t="s">
        <v>36</v>
      </c>
      <c r="C21" s="76">
        <v>27700</v>
      </c>
      <c r="D21" s="76">
        <v>24026</v>
      </c>
      <c r="E21" s="76">
        <v>23134</v>
      </c>
      <c r="F21" s="76">
        <v>22000</v>
      </c>
      <c r="G21" s="77">
        <v>22</v>
      </c>
      <c r="H21" s="78">
        <f>+F21/C21</f>
        <v>0.79422382671480141</v>
      </c>
      <c r="I21" s="79">
        <v>1000</v>
      </c>
      <c r="K21" s="82" t="s">
        <v>37</v>
      </c>
      <c r="T21" s="81"/>
    </row>
    <row r="22" spans="1:21" s="39" customFormat="1" ht="21.95" customHeight="1" thickBot="1" x14ac:dyDescent="0.4">
      <c r="B22" s="83" t="s">
        <v>38</v>
      </c>
      <c r="C22" s="84">
        <v>27700</v>
      </c>
      <c r="D22" s="84">
        <v>24026</v>
      </c>
      <c r="E22" s="84">
        <v>23134</v>
      </c>
      <c r="F22" s="84">
        <v>22000</v>
      </c>
      <c r="G22" s="85">
        <v>22</v>
      </c>
      <c r="H22" s="86">
        <f>+F22/C22</f>
        <v>0.79422382671480141</v>
      </c>
      <c r="I22" s="87">
        <v>1000</v>
      </c>
      <c r="K22" s="18"/>
      <c r="L22" s="18"/>
      <c r="M22" s="18"/>
      <c r="N22" s="18"/>
      <c r="O22" s="18"/>
      <c r="P22" s="18"/>
      <c r="Q22" s="18"/>
      <c r="T22" s="81"/>
    </row>
    <row r="23" spans="1:21" s="39" customFormat="1" ht="21.95" customHeight="1" x14ac:dyDescent="0.35">
      <c r="B23" s="88"/>
      <c r="C23" s="89"/>
      <c r="D23" s="89"/>
      <c r="E23" s="89"/>
      <c r="F23" s="89"/>
      <c r="G23" s="90"/>
      <c r="H23" s="91"/>
      <c r="I23" s="92"/>
      <c r="K23" s="18"/>
      <c r="L23" s="18"/>
      <c r="M23" s="18"/>
      <c r="N23" s="18"/>
      <c r="O23" s="18"/>
      <c r="P23" s="18"/>
      <c r="Q23" s="18"/>
      <c r="T23" s="81"/>
    </row>
    <row r="24" spans="1:21" s="39" customFormat="1" ht="21.95" customHeight="1" x14ac:dyDescent="0.35">
      <c r="B24" s="88"/>
      <c r="C24" s="89"/>
      <c r="D24" s="89"/>
      <c r="E24" s="89"/>
      <c r="F24" s="89"/>
      <c r="G24" s="90"/>
      <c r="H24" s="91"/>
      <c r="I24" s="92"/>
      <c r="K24" s="18"/>
      <c r="L24" s="18"/>
      <c r="M24" s="18"/>
      <c r="N24" s="18"/>
      <c r="O24" s="18"/>
      <c r="P24" s="18"/>
      <c r="Q24" s="18"/>
      <c r="T24" s="81"/>
    </row>
    <row r="25" spans="1:21" s="39" customFormat="1" ht="21.95" customHeight="1" x14ac:dyDescent="0.35">
      <c r="B25" s="93"/>
      <c r="C25" s="93"/>
      <c r="D25" s="93"/>
      <c r="E25" s="93"/>
      <c r="F25" s="43"/>
      <c r="G25" s="94"/>
      <c r="H25" s="95"/>
      <c r="J25" s="18"/>
      <c r="K25" s="18"/>
      <c r="L25" s="18"/>
      <c r="M25" s="18"/>
      <c r="N25" s="18"/>
      <c r="O25" s="18"/>
      <c r="P25" s="18"/>
      <c r="Q25" s="18"/>
    </row>
    <row r="26" spans="1:21" ht="21.95" customHeight="1" thickBot="1" x14ac:dyDescent="0.45">
      <c r="A26" s="96"/>
      <c r="B26" s="97" t="s">
        <v>39</v>
      </c>
      <c r="D26" s="97"/>
      <c r="E26" s="97"/>
      <c r="F26" s="97"/>
      <c r="G26" s="97"/>
      <c r="H26" s="98"/>
      <c r="I26" s="98"/>
      <c r="J26" s="98"/>
      <c r="K26" s="99"/>
      <c r="L26" s="98"/>
      <c r="M26" s="98"/>
      <c r="N26" s="98"/>
      <c r="O26" s="98"/>
      <c r="P26" s="98"/>
    </row>
    <row r="27" spans="1:21" ht="21.95" customHeight="1" x14ac:dyDescent="0.3">
      <c r="A27" s="100"/>
      <c r="B27" s="101" t="s">
        <v>19</v>
      </c>
      <c r="C27" s="102" t="s">
        <v>40</v>
      </c>
      <c r="D27" s="102" t="s">
        <v>40</v>
      </c>
      <c r="E27" s="103" t="s">
        <v>41</v>
      </c>
      <c r="F27" s="103" t="s">
        <v>41</v>
      </c>
      <c r="G27" s="104" t="s">
        <v>42</v>
      </c>
      <c r="H27" s="104" t="s">
        <v>43</v>
      </c>
      <c r="I27" s="104" t="s">
        <v>43</v>
      </c>
      <c r="J27" s="104" t="s">
        <v>44</v>
      </c>
      <c r="K27" s="105" t="s">
        <v>45</v>
      </c>
      <c r="L27" s="105" t="s">
        <v>45</v>
      </c>
      <c r="S27" s="106"/>
    </row>
    <row r="28" spans="1:21" ht="21.95" customHeight="1" thickBot="1" x14ac:dyDescent="0.4">
      <c r="A28" s="94"/>
      <c r="B28" s="107"/>
      <c r="C28" s="108" t="s">
        <v>46</v>
      </c>
      <c r="D28" s="108" t="s">
        <v>46</v>
      </c>
      <c r="E28" s="109" t="s">
        <v>47</v>
      </c>
      <c r="F28" s="109" t="s">
        <v>47</v>
      </c>
      <c r="G28" s="110" t="s">
        <v>48</v>
      </c>
      <c r="H28" s="110" t="s">
        <v>49</v>
      </c>
      <c r="I28" s="110" t="s">
        <v>49</v>
      </c>
      <c r="J28" s="110" t="s">
        <v>50</v>
      </c>
      <c r="K28" s="111" t="s">
        <v>51</v>
      </c>
      <c r="L28" s="111" t="s">
        <v>51</v>
      </c>
    </row>
    <row r="29" spans="1:21" ht="21.95" customHeight="1" x14ac:dyDescent="0.35">
      <c r="A29" s="112"/>
      <c r="B29" s="113" t="str">
        <f>+B19</f>
        <v>Fan 1</v>
      </c>
      <c r="C29" s="114">
        <f>IF($G$7&gt;725,0.2,IF($G$7&gt;=600,0.15, IF($G$7&gt;=450,0.1,IF($G$7&gt;=300,0.05,0.05))))</f>
        <v>0.1</v>
      </c>
      <c r="D29" s="115">
        <f>+C29*254</f>
        <v>25.400000000000002</v>
      </c>
      <c r="E29" s="116">
        <f>IF($G$7&gt;725,F19,IF($G$7&gt;=600,E19, IF($G$7&gt;=450,D19,IF($G$7&gt;=300,C19,C19))))</f>
        <v>24026</v>
      </c>
      <c r="F29" s="117">
        <f>+E29*1.7</f>
        <v>40844.199999999997</v>
      </c>
      <c r="G29" s="118">
        <f>+IF((-INT(S16/E29)+(S16/E29))&lt;0.5,INT(S16/E29),ROUNDUP(S16/E29,0))</f>
        <v>6</v>
      </c>
      <c r="H29" s="119">
        <f>+IF(A29&gt;0,ROUND(E29*A29,-2),ROUND(E29*G29,-2))</f>
        <v>144200</v>
      </c>
      <c r="I29" s="117">
        <f>+H29*1.7</f>
        <v>245140</v>
      </c>
      <c r="J29" s="120">
        <f>+IF(A29&gt;0,ROUND((A29*(($D$19)/(($G$19)))/1000*$G$6*$D$10),-1),ROUND((G29*(($D$19)/(($G$19)))/1000*$G$6*$D$10),-1))</f>
        <v>1640</v>
      </c>
      <c r="K29" s="121">
        <f>+ROUND((H29/(L7*(L8+L9)/2)),-1)</f>
        <v>500</v>
      </c>
      <c r="L29" s="122">
        <f>+K29/200</f>
        <v>2.5</v>
      </c>
    </row>
    <row r="30" spans="1:21" ht="21.95" customHeight="1" x14ac:dyDescent="0.35">
      <c r="A30" s="112"/>
      <c r="B30" s="123" t="str">
        <f>+B20</f>
        <v>Fan 2</v>
      </c>
      <c r="C30" s="124">
        <f>IF($G$7&gt;725,0.2,IF($G$7&gt;=600,0.15, IF($G$7&gt;=450,0.1,IF($G$7&gt;=300,0.05,0.05))))</f>
        <v>0.1</v>
      </c>
      <c r="D30" s="125">
        <f>+C30*254</f>
        <v>25.400000000000002</v>
      </c>
      <c r="E30" s="126">
        <f>IF($G$7&gt;725,F20,IF($G$7&gt;=600,E20, IF($G$7&gt;=450,D20,IF($G$7&gt;=300,C20,C20))))</f>
        <v>24026</v>
      </c>
      <c r="F30" s="127">
        <f>+E30*1.7</f>
        <v>40844.199999999997</v>
      </c>
      <c r="G30" s="128">
        <f>+IF((-INT(S17/E30)+(S17/E30))&lt;0.5,INT(S17/E30),ROUNDUP(S17/E30,0))</f>
        <v>6</v>
      </c>
      <c r="H30" s="129">
        <f>+IF(A30&gt;0,ROUND(E30*A30,-2),ROUND(E30*G30,-2))</f>
        <v>144200</v>
      </c>
      <c r="I30" s="127">
        <f>+H30*1.7</f>
        <v>245140</v>
      </c>
      <c r="J30" s="130">
        <f>+IF(A30&gt;0,ROUND((A30*(($D$20)/(($G$20)))/1000*$G$6*$D$10),-1),ROUND((G30*(($D$20)/(($G$20)))/1000*$G$6*$D$10),-1))</f>
        <v>1640</v>
      </c>
      <c r="K30" s="131">
        <f>+ROUND((H30/(L7*(L8+L9)/2)),-1)</f>
        <v>500</v>
      </c>
      <c r="L30" s="132">
        <f>+K30/200</f>
        <v>2.5</v>
      </c>
    </row>
    <row r="31" spans="1:21" ht="21.95" customHeight="1" x14ac:dyDescent="0.35">
      <c r="A31" s="112"/>
      <c r="B31" s="123" t="str">
        <f>+B21</f>
        <v>Fan 3</v>
      </c>
      <c r="C31" s="124">
        <f>IF($G$7&gt;725,0.2,IF($G$7&gt;=600,0.15, IF($G$7&gt;=450,0.1,IF($G$7&gt;=300,0.05,0.05))))</f>
        <v>0.1</v>
      </c>
      <c r="D31" s="125">
        <f>+C31*254</f>
        <v>25.400000000000002</v>
      </c>
      <c r="E31" s="126">
        <f>IF($G$7&gt;725,F21,IF($G$7&gt;=600,E21, IF($G$7&gt;=450,D21,IF($G$7&gt;=300,C21,C21))))</f>
        <v>24026</v>
      </c>
      <c r="F31" s="127">
        <f>+E31*1.7</f>
        <v>40844.199999999997</v>
      </c>
      <c r="G31" s="128">
        <f>+IF((-INT(S18/E31)+(S18/E31))&lt;0.5,INT(S18/E31),ROUNDUP(S18/E31,0))</f>
        <v>6</v>
      </c>
      <c r="H31" s="129">
        <f>+IF(A31&gt;0,ROUND(E31*A31,-2),ROUND(E31*G31,-2))</f>
        <v>144200</v>
      </c>
      <c r="I31" s="127">
        <f>+H31*1.7</f>
        <v>245140</v>
      </c>
      <c r="J31" s="130">
        <f>+IF(A31&gt;0,ROUND((A31*(($D$21)/(($G$21)))/1000*$G$6*$D$10),-1),ROUND((G31*(($D$21)/(($G$21)))/1000*$G$6*$D$10),-1))</f>
        <v>1640</v>
      </c>
      <c r="K31" s="131">
        <f>+ROUND((H31/(L7*(L8+L9)/2)),-1)</f>
        <v>500</v>
      </c>
      <c r="L31" s="132">
        <f>+K31/200</f>
        <v>2.5</v>
      </c>
    </row>
    <row r="32" spans="1:21" ht="21.95" customHeight="1" thickBot="1" x14ac:dyDescent="0.4">
      <c r="A32" s="112"/>
      <c r="B32" s="133" t="str">
        <f>+B22</f>
        <v>Fan 4</v>
      </c>
      <c r="C32" s="134">
        <f>IF($G$7&gt;725,0.2,IF($G$7&gt;=600,0.15, IF($G$7&gt;=450,0.1,IF($G$7&gt;=300,0.05,0.05))))</f>
        <v>0.1</v>
      </c>
      <c r="D32" s="135">
        <f>+C32*254</f>
        <v>25.400000000000002</v>
      </c>
      <c r="E32" s="136">
        <f>IF($G$7&gt;725,F22,IF($G$7&gt;=600,E22, IF($G$7&gt;=450,D22,IF($G$7&gt;=300,C22,C22))))</f>
        <v>24026</v>
      </c>
      <c r="F32" s="137">
        <f>+E32*1.7</f>
        <v>40844.199999999997</v>
      </c>
      <c r="G32" s="138">
        <f>+IF((-INT(S19/E32)+(S19/E32))&lt;0.5,INT(S19/E32),ROUNDUP(S19/E32,0))</f>
        <v>6</v>
      </c>
      <c r="H32" s="139">
        <f>+IF(A32&gt;0,ROUND(E32*A32,-2),ROUND(E32*G32,-2))</f>
        <v>144200</v>
      </c>
      <c r="I32" s="137">
        <f>+H32*1.7</f>
        <v>245140</v>
      </c>
      <c r="J32" s="140">
        <f>+IF(A32&gt;0,ROUND((A32*(($D$22)/(($G$22)))/1000*$G$6*$D$10),-1),ROUND((G32*(($D$22)/(($G$22)))/1000*$G$6*$D$10),-1))</f>
        <v>1640</v>
      </c>
      <c r="K32" s="141">
        <f>+ROUND((H32/(L7*(L8+L9)/2)),-1)</f>
        <v>500</v>
      </c>
      <c r="L32" s="142">
        <f>+K32/200</f>
        <v>2.5</v>
      </c>
    </row>
    <row r="33" spans="1:19" ht="21.95" customHeight="1" x14ac:dyDescent="0.35">
      <c r="A33" s="112"/>
      <c r="B33" s="94"/>
      <c r="C33" s="143"/>
      <c r="D33" s="144"/>
      <c r="E33" s="145"/>
      <c r="F33" s="146"/>
      <c r="G33" s="147"/>
      <c r="H33" s="148"/>
      <c r="I33" s="149"/>
    </row>
    <row r="34" spans="1:19" ht="21.95" customHeight="1" x14ac:dyDescent="0.35">
      <c r="A34" s="112"/>
      <c r="B34" s="94"/>
      <c r="C34" s="143"/>
      <c r="D34" s="144"/>
      <c r="E34" s="145"/>
      <c r="F34" s="146"/>
      <c r="G34" s="150"/>
      <c r="H34" s="147"/>
      <c r="I34" s="151"/>
    </row>
    <row r="35" spans="1:19" ht="21.95" customHeight="1" thickBot="1" x14ac:dyDescent="0.45">
      <c r="A35" s="152"/>
      <c r="B35" s="97" t="s">
        <v>52</v>
      </c>
      <c r="C35" s="153"/>
      <c r="D35" s="154"/>
      <c r="E35" s="155"/>
      <c r="H35" s="156"/>
      <c r="I35" s="156"/>
      <c r="J35" s="98"/>
      <c r="K35" s="157"/>
      <c r="S35" s="19"/>
    </row>
    <row r="36" spans="1:19" ht="21.95" customHeight="1" x14ac:dyDescent="0.35">
      <c r="A36" s="158"/>
      <c r="B36" s="101" t="s">
        <v>19</v>
      </c>
      <c r="C36" s="159"/>
      <c r="D36" s="160" t="s">
        <v>53</v>
      </c>
      <c r="E36" s="161"/>
      <c r="F36" s="160" t="s">
        <v>54</v>
      </c>
      <c r="G36" s="162"/>
      <c r="H36" s="163"/>
      <c r="I36" s="164"/>
      <c r="J36" s="165"/>
      <c r="K36" s="165"/>
      <c r="L36" s="165"/>
      <c r="M36" s="165"/>
      <c r="N36" s="165"/>
      <c r="O36" s="165"/>
      <c r="P36" s="165"/>
    </row>
    <row r="37" spans="1:19" ht="21.95" customHeight="1" thickBot="1" x14ac:dyDescent="0.35">
      <c r="A37" s="166"/>
      <c r="B37" s="167"/>
      <c r="C37" s="168" t="s">
        <v>52</v>
      </c>
      <c r="D37" s="169" t="s">
        <v>55</v>
      </c>
      <c r="E37" s="170" t="s">
        <v>56</v>
      </c>
      <c r="F37" s="169" t="str">
        <f>+D37</f>
        <v>Electricity cost</v>
      </c>
      <c r="G37" s="171" t="str">
        <f>+E37</f>
        <v>Total cost</v>
      </c>
    </row>
    <row r="38" spans="1:19" ht="21.95" customHeight="1" x14ac:dyDescent="0.35">
      <c r="B38" s="172" t="str">
        <f>+B29</f>
        <v>Fan 1</v>
      </c>
      <c r="C38" s="173">
        <f>+IF(A29&gt;G29,I19*A29,I19*G29)</f>
        <v>6000</v>
      </c>
      <c r="D38" s="174">
        <f>+J29*5</f>
        <v>8200</v>
      </c>
      <c r="E38" s="175">
        <f>+C38+D38</f>
        <v>14200</v>
      </c>
      <c r="F38" s="176">
        <f>+D38*2</f>
        <v>16400</v>
      </c>
      <c r="G38" s="177">
        <f>+F38+C38</f>
        <v>22400</v>
      </c>
    </row>
    <row r="39" spans="1:19" ht="21.95" customHeight="1" x14ac:dyDescent="0.35">
      <c r="B39" s="123" t="str">
        <f>+B30</f>
        <v>Fan 2</v>
      </c>
      <c r="C39" s="178">
        <f>+IF(A30&gt;G30,I20*A30,I20*G30)</f>
        <v>6000</v>
      </c>
      <c r="D39" s="179">
        <f>+J30*5</f>
        <v>8200</v>
      </c>
      <c r="E39" s="180">
        <f>+C39+D39</f>
        <v>14200</v>
      </c>
      <c r="F39" s="181">
        <f>+D39*2</f>
        <v>16400</v>
      </c>
      <c r="G39" s="182">
        <f>+F39+C39</f>
        <v>22400</v>
      </c>
    </row>
    <row r="40" spans="1:19" ht="21.95" customHeight="1" x14ac:dyDescent="0.35">
      <c r="B40" s="123" t="str">
        <f>+B31</f>
        <v>Fan 3</v>
      </c>
      <c r="C40" s="178">
        <f>+IF(A31&gt;G31,I21*A31,I21*G31)</f>
        <v>6000</v>
      </c>
      <c r="D40" s="179">
        <f>+J31*5</f>
        <v>8200</v>
      </c>
      <c r="E40" s="180">
        <f>+C40+D40</f>
        <v>14200</v>
      </c>
      <c r="F40" s="181">
        <f>+D40*2</f>
        <v>16400</v>
      </c>
      <c r="G40" s="182">
        <f>+F40+C40</f>
        <v>22400</v>
      </c>
    </row>
    <row r="41" spans="1:19" ht="21.95" customHeight="1" thickBot="1" x14ac:dyDescent="0.4">
      <c r="B41" s="133" t="str">
        <f>+B32</f>
        <v>Fan 4</v>
      </c>
      <c r="C41" s="183">
        <f>+IF(A32&gt;G32,I22*A32,I22*G32)</f>
        <v>6000</v>
      </c>
      <c r="D41" s="184">
        <f>+J32*5</f>
        <v>8200</v>
      </c>
      <c r="E41" s="185">
        <f>+C41+D41</f>
        <v>14200</v>
      </c>
      <c r="F41" s="186">
        <f>+D41*2</f>
        <v>16400</v>
      </c>
      <c r="G41" s="187">
        <f>+F41+C41</f>
        <v>22400</v>
      </c>
    </row>
    <row r="42" spans="1:19" ht="21.95" customHeight="1" x14ac:dyDescent="0.25">
      <c r="F42" s="8"/>
      <c r="G42" s="8"/>
    </row>
  </sheetData>
  <sheetProtection selectLockedCells="1"/>
  <conditionalFormatting sqref="H33">
    <cfRule type="cellIs" dxfId="3" priority="8" stopIfTrue="1" operator="greaterThanOrEqual">
      <formula>550</formula>
    </cfRule>
    <cfRule type="cellIs" dxfId="2" priority="9" stopIfTrue="1" operator="between">
      <formula>549</formula>
      <formula>450</formula>
    </cfRule>
    <cfRule type="cellIs" dxfId="1" priority="10" stopIfTrue="1" operator="between">
      <formula>449</formula>
      <formula>400</formula>
    </cfRule>
  </conditionalFormatting>
  <conditionalFormatting sqref="T20:T24">
    <cfRule type="expression" dxfId="0" priority="7" stopIfTrue="1">
      <formula>"$h15=2 and $i15=2"</formula>
    </cfRule>
  </conditionalFormatting>
  <conditionalFormatting sqref="H19">
    <cfRule type="colorScale" priority="5">
      <colorScale>
        <cfvo type="num" val="0.7"/>
        <cfvo type="num" val="0.73"/>
        <cfvo type="num" val="0.8"/>
        <color rgb="FFFFFF00"/>
        <color rgb="FF00FF00"/>
        <color rgb="FF00FFFF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20">
    <cfRule type="colorScale" priority="4">
      <colorScale>
        <cfvo type="num" val="0.7"/>
        <cfvo type="num" val="0.73"/>
        <cfvo type="num" val="0.8"/>
        <color rgb="FFFFFF00"/>
        <color rgb="FF00FF00"/>
        <color rgb="FF00FFFF"/>
      </colorScale>
    </cfRule>
  </conditionalFormatting>
  <conditionalFormatting sqref="H21">
    <cfRule type="colorScale" priority="3">
      <colorScale>
        <cfvo type="num" val="0.7"/>
        <cfvo type="num" val="0.73"/>
        <cfvo type="num" val="0.8"/>
        <color rgb="FFFFFF00"/>
        <color rgb="FF00FF00"/>
        <color rgb="FF00FFFF"/>
      </colorScale>
    </cfRule>
  </conditionalFormatting>
  <conditionalFormatting sqref="H22:H24">
    <cfRule type="colorScale" priority="2">
      <colorScale>
        <cfvo type="num" val="0.7"/>
        <cfvo type="num" val="0.73"/>
        <cfvo type="num" val="0.8"/>
        <color rgb="FFFFFF00"/>
        <color rgb="FF00FF00"/>
        <color rgb="FF00FFFF"/>
      </colorScale>
    </cfRule>
  </conditionalFormatting>
  <conditionalFormatting sqref="G19:G24">
    <cfRule type="colorScale" priority="1">
      <colorScale>
        <cfvo type="num" val="19"/>
        <cfvo type="num" val="20"/>
        <cfvo type="num" val="22"/>
        <color rgb="FFFFFF00"/>
        <color rgb="FF00FF00"/>
        <color rgb="FF00FFFF"/>
      </colorScale>
    </cfRule>
  </conditionalFormatting>
  <pageMargins left="0.75" right="0.72" top="1" bottom="1" header="0.5" footer="0.5"/>
  <pageSetup scale="3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Tunnel fan 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2014-05-03T20:01:34Z</dcterms:created>
  <dcterms:modified xsi:type="dcterms:W3CDTF">2014-05-03T20:28:37Z</dcterms:modified>
</cp:coreProperties>
</file>